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George Risk Industries/To Publish/"/>
    </mc:Choice>
  </mc:AlternateContent>
  <xr:revisionPtr revIDLastSave="0" documentId="13_ncr:1_{71AEE0FA-025A-D443-8A22-EDC451B51D60}" xr6:coauthVersionLast="47" xr6:coauthVersionMax="47" xr10:uidLastSave="{00000000-0000-0000-0000-000000000000}"/>
  <bookViews>
    <workbookView xWindow="0" yWindow="500" windowWidth="28800" windowHeight="16240" xr2:uid="{00000000-000D-0000-FFFF-FFFF00000000}"/>
  </bookViews>
  <sheets>
    <sheet name="TERMS OF USE" sheetId="11" r:id="rId1"/>
    <sheet name="Balance Sheet" sheetId="1" r:id="rId2"/>
    <sheet name="Operating Summary" sheetId="9" r:id="rId3"/>
    <sheet name="Cash Flow"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1" i="10" l="1"/>
  <c r="B67" i="10"/>
  <c r="L77" i="10"/>
  <c r="L80" i="10"/>
  <c r="L81" i="10"/>
  <c r="L82" i="10" s="1"/>
  <c r="L79" i="10"/>
  <c r="L76" i="10"/>
  <c r="L75" i="10"/>
  <c r="K82" i="10"/>
  <c r="C82" i="10"/>
  <c r="D82" i="10"/>
  <c r="E82" i="10"/>
  <c r="F82" i="10"/>
  <c r="G82" i="10"/>
  <c r="H82" i="10"/>
  <c r="I82" i="10"/>
  <c r="J82" i="10"/>
  <c r="B82" i="10"/>
  <c r="C79" i="10"/>
  <c r="D79" i="10"/>
  <c r="E79" i="10"/>
  <c r="F79" i="10"/>
  <c r="G79" i="10"/>
  <c r="H79" i="10"/>
  <c r="I79" i="10"/>
  <c r="J79" i="10"/>
  <c r="K79" i="10"/>
  <c r="C80" i="10"/>
  <c r="D80" i="10"/>
  <c r="E80" i="10"/>
  <c r="F80" i="10"/>
  <c r="G80" i="10"/>
  <c r="H80" i="10"/>
  <c r="I80" i="10"/>
  <c r="J80" i="10"/>
  <c r="K80" i="10"/>
  <c r="B80" i="10"/>
  <c r="B79" i="10"/>
  <c r="C77" i="10"/>
  <c r="D77" i="10"/>
  <c r="E77" i="10"/>
  <c r="F77" i="10"/>
  <c r="G77" i="10"/>
  <c r="H77" i="10"/>
  <c r="I77" i="10"/>
  <c r="J77" i="10"/>
  <c r="K77" i="10"/>
  <c r="B77" i="10"/>
  <c r="C76" i="10"/>
  <c r="D76" i="10"/>
  <c r="E76" i="10"/>
  <c r="F76" i="10"/>
  <c r="G76" i="10"/>
  <c r="H76" i="10"/>
  <c r="I76" i="10"/>
  <c r="J76" i="10"/>
  <c r="K76" i="10"/>
  <c r="B76" i="10"/>
  <c r="C75" i="10"/>
  <c r="D75" i="10"/>
  <c r="E75" i="10"/>
  <c r="F75" i="10"/>
  <c r="G75" i="10"/>
  <c r="H75" i="10"/>
  <c r="I75" i="10"/>
  <c r="J75" i="10"/>
  <c r="K75" i="10"/>
  <c r="B75" i="10"/>
  <c r="C101" i="1"/>
  <c r="B101" i="1"/>
  <c r="C92" i="1"/>
  <c r="B92" i="1"/>
  <c r="C86" i="1"/>
  <c r="B86" i="1"/>
  <c r="C100" i="1"/>
  <c r="B103" i="1"/>
  <c r="C99" i="1"/>
  <c r="B99" i="1"/>
  <c r="C98" i="1"/>
  <c r="C97" i="1"/>
  <c r="C96" i="1"/>
  <c r="C95" i="1"/>
  <c r="C91" i="1"/>
  <c r="C90" i="1"/>
  <c r="C89" i="1"/>
  <c r="C88" i="1"/>
  <c r="C87" i="1"/>
  <c r="C85" i="1"/>
  <c r="C84" i="1"/>
  <c r="C83" i="1"/>
  <c r="B102" i="1"/>
  <c r="B100" i="1"/>
  <c r="B98" i="1"/>
  <c r="B97" i="1"/>
  <c r="B96" i="1"/>
  <c r="B95" i="1"/>
  <c r="B91" i="1"/>
  <c r="B90" i="1"/>
  <c r="B89" i="1"/>
  <c r="B88" i="1"/>
  <c r="B87" i="1"/>
  <c r="B85" i="1"/>
  <c r="B84" i="1"/>
  <c r="B83" i="1"/>
  <c r="B82" i="1"/>
  <c r="B81" i="1"/>
  <c r="C102" i="1" l="1"/>
  <c r="C103" i="1" s="1"/>
  <c r="C62" i="1"/>
  <c r="D62" i="1"/>
  <c r="E62" i="1"/>
  <c r="F62" i="1"/>
  <c r="G62" i="1"/>
  <c r="H62" i="1"/>
  <c r="I62" i="1"/>
  <c r="J62" i="1"/>
  <c r="K62" i="1"/>
  <c r="L62" i="1"/>
  <c r="M62" i="1"/>
  <c r="N62" i="1"/>
  <c r="O62" i="1"/>
  <c r="P62" i="1"/>
  <c r="Q62" i="1"/>
  <c r="R62" i="1"/>
  <c r="S62" i="1"/>
  <c r="T62" i="1"/>
  <c r="U62" i="1"/>
  <c r="V62" i="1"/>
  <c r="W62" i="1"/>
  <c r="X62" i="1"/>
  <c r="Y62" i="1"/>
  <c r="Z62" i="1"/>
  <c r="AA62" i="1"/>
  <c r="C63" i="1"/>
  <c r="D63" i="1"/>
  <c r="E63" i="1"/>
  <c r="F63" i="1"/>
  <c r="G63" i="1"/>
  <c r="H63" i="1"/>
  <c r="I63" i="1"/>
  <c r="J63" i="1"/>
  <c r="K63" i="1"/>
  <c r="L63" i="1"/>
  <c r="M63" i="1"/>
  <c r="N63" i="1"/>
  <c r="O63" i="1"/>
  <c r="P63" i="1"/>
  <c r="P64" i="1" s="1"/>
  <c r="P67" i="1" s="1"/>
  <c r="Q63" i="1"/>
  <c r="R63" i="1"/>
  <c r="S63" i="1"/>
  <c r="T63" i="1"/>
  <c r="U63" i="1"/>
  <c r="V63" i="1"/>
  <c r="W63" i="1"/>
  <c r="X63" i="1"/>
  <c r="Y63" i="1"/>
  <c r="Z63" i="1"/>
  <c r="AA63" i="1"/>
  <c r="B62" i="1"/>
  <c r="B63" i="1"/>
  <c r="B64" i="1" s="1"/>
  <c r="B67" i="1" s="1"/>
  <c r="B70" i="10"/>
  <c r="B68" i="10"/>
  <c r="B64" i="10"/>
  <c r="B63" i="10"/>
  <c r="B65" i="10" s="1"/>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B58"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B57" i="10"/>
  <c r="B62" i="10"/>
  <c r="AC48" i="10"/>
  <c r="AC49" i="10"/>
  <c r="AC51" i="10"/>
  <c r="AC47" i="10"/>
  <c r="AC36" i="10"/>
  <c r="AC37" i="10"/>
  <c r="AC38" i="10"/>
  <c r="AC39" i="10"/>
  <c r="AC40" i="10"/>
  <c r="AC41" i="10"/>
  <c r="AC42" i="10"/>
  <c r="AC43" i="10"/>
  <c r="AC44" i="10"/>
  <c r="AC35" i="10"/>
  <c r="AC45" i="10" s="1"/>
  <c r="AC10" i="10"/>
  <c r="AC11" i="10"/>
  <c r="AC12" i="10"/>
  <c r="AC13" i="10"/>
  <c r="AC14" i="10"/>
  <c r="AC15" i="10"/>
  <c r="AC16" i="10"/>
  <c r="AC17" i="10"/>
  <c r="AC18" i="10"/>
  <c r="AC19" i="10"/>
  <c r="AC22" i="10"/>
  <c r="AC23" i="10"/>
  <c r="AC24" i="10"/>
  <c r="AC26" i="10"/>
  <c r="AC27" i="10"/>
  <c r="AC28" i="10"/>
  <c r="AC30" i="10"/>
  <c r="AC31" i="10"/>
  <c r="AC32" i="10"/>
  <c r="AC9" i="10"/>
  <c r="AC7" i="10"/>
  <c r="AB54" i="10"/>
  <c r="AB50" i="10"/>
  <c r="AB52" i="10" s="1"/>
  <c r="AB45" i="10"/>
  <c r="AB33" i="10"/>
  <c r="AB8" i="9"/>
  <c r="AB35" i="9" s="1"/>
  <c r="AB14" i="9"/>
  <c r="AB23" i="9"/>
  <c r="AB28" i="9"/>
  <c r="Z25" i="10"/>
  <c r="Z33" i="10" s="1"/>
  <c r="X50" i="10"/>
  <c r="AC50" i="10" s="1"/>
  <c r="AC52" i="10" s="1"/>
  <c r="R33"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B45"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B52" i="10"/>
  <c r="C33" i="10"/>
  <c r="D33" i="10"/>
  <c r="E33" i="10"/>
  <c r="F33" i="10"/>
  <c r="G33" i="10"/>
  <c r="H33" i="10"/>
  <c r="I33" i="10"/>
  <c r="J33" i="10"/>
  <c r="K33" i="10"/>
  <c r="L33" i="10"/>
  <c r="M33" i="10"/>
  <c r="N33" i="10"/>
  <c r="O33" i="10"/>
  <c r="P33" i="10"/>
  <c r="Q33" i="10"/>
  <c r="S33" i="10"/>
  <c r="T33" i="10"/>
  <c r="U33" i="10"/>
  <c r="V33" i="10"/>
  <c r="W33" i="10"/>
  <c r="X33" i="10"/>
  <c r="Y33" i="10"/>
  <c r="AA33" i="10"/>
  <c r="B33" i="10"/>
  <c r="D64" i="1" l="1"/>
  <c r="D67" i="1" s="1"/>
  <c r="E64" i="1"/>
  <c r="E67" i="1" s="1"/>
  <c r="H64" i="1"/>
  <c r="H67" i="1" s="1"/>
  <c r="F64" i="1"/>
  <c r="F67" i="1" s="1"/>
  <c r="W64" i="1"/>
  <c r="W67" i="1" s="1"/>
  <c r="V64" i="1"/>
  <c r="V67" i="1" s="1"/>
  <c r="U64" i="1"/>
  <c r="U67" i="1" s="1"/>
  <c r="T64" i="1"/>
  <c r="T67" i="1" s="1"/>
  <c r="G64" i="1"/>
  <c r="G67" i="1" s="1"/>
  <c r="K64" i="1"/>
  <c r="K67" i="1" s="1"/>
  <c r="M64" i="1"/>
  <c r="M67" i="1" s="1"/>
  <c r="C64" i="1"/>
  <c r="C67" i="1" s="1"/>
  <c r="L64" i="1"/>
  <c r="L67" i="1" s="1"/>
  <c r="AA64" i="1"/>
  <c r="AA67" i="1" s="1"/>
  <c r="O64" i="1"/>
  <c r="O67" i="1" s="1"/>
  <c r="X64" i="1"/>
  <c r="X67" i="1" s="1"/>
  <c r="S64" i="1"/>
  <c r="S67" i="1" s="1"/>
  <c r="N64" i="1"/>
  <c r="N67" i="1" s="1"/>
  <c r="Q64" i="1"/>
  <c r="Q67" i="1" s="1"/>
  <c r="J64" i="1"/>
  <c r="J67" i="1" s="1"/>
  <c r="Y64" i="1"/>
  <c r="Y67" i="1" s="1"/>
  <c r="Z64" i="1"/>
  <c r="Z67" i="1" s="1"/>
  <c r="R64" i="1"/>
  <c r="R67" i="1" s="1"/>
  <c r="I64" i="1"/>
  <c r="I67" i="1" s="1"/>
  <c r="AC25" i="10"/>
  <c r="AC33" i="10" s="1"/>
  <c r="AB53" i="10"/>
  <c r="AB55" i="10" s="1"/>
  <c r="AB15" i="9"/>
  <c r="AB36" i="9" s="1"/>
  <c r="I53" i="10"/>
  <c r="I55" i="10" s="1"/>
  <c r="M53" i="10"/>
  <c r="M55" i="10" s="1"/>
  <c r="O53" i="10"/>
  <c r="O55" i="10" s="1"/>
  <c r="N53" i="10"/>
  <c r="N55" i="10" s="1"/>
  <c r="G53" i="10"/>
  <c r="G55" i="10" s="1"/>
  <c r="W53" i="10"/>
  <c r="W55" i="10" s="1"/>
  <c r="V53" i="10"/>
  <c r="V55" i="10" s="1"/>
  <c r="U53" i="10"/>
  <c r="U55" i="10" s="1"/>
  <c r="F53" i="10"/>
  <c r="F55" i="10" s="1"/>
  <c r="E53" i="10"/>
  <c r="E55" i="10" s="1"/>
  <c r="T53" i="10"/>
  <c r="T55" i="10" s="1"/>
  <c r="S53" i="10"/>
  <c r="S55" i="10" s="1"/>
  <c r="Z53" i="10"/>
  <c r="Z55" i="10" s="1"/>
  <c r="R53" i="10"/>
  <c r="R55" i="10" s="1"/>
  <c r="J53" i="10"/>
  <c r="J55" i="10" s="1"/>
  <c r="L53" i="10"/>
  <c r="L55" i="10" s="1"/>
  <c r="K53" i="10"/>
  <c r="K55" i="10" s="1"/>
  <c r="Y53" i="10"/>
  <c r="Y55" i="10" s="1"/>
  <c r="Q53" i="10"/>
  <c r="Q55" i="10" s="1"/>
  <c r="AA53" i="10"/>
  <c r="AA55" i="10" s="1"/>
  <c r="X53" i="10"/>
  <c r="X55" i="10" s="1"/>
  <c r="P53" i="10"/>
  <c r="P55" i="10" s="1"/>
  <c r="H53" i="10"/>
  <c r="H55" i="10" s="1"/>
  <c r="D53" i="10"/>
  <c r="D55" i="10" s="1"/>
  <c r="C53" i="10"/>
  <c r="C55" i="10" s="1"/>
  <c r="B53" i="10"/>
  <c r="B28" i="9"/>
  <c r="C28" i="9"/>
  <c r="D28" i="9"/>
  <c r="E28" i="9"/>
  <c r="F28" i="9"/>
  <c r="G28" i="9"/>
  <c r="H28" i="9"/>
  <c r="I28" i="9"/>
  <c r="J28" i="9"/>
  <c r="K28" i="9"/>
  <c r="L28" i="9"/>
  <c r="B8" i="9"/>
  <c r="B35" i="9" s="1"/>
  <c r="C8" i="9"/>
  <c r="C35" i="9" s="1"/>
  <c r="D8" i="9"/>
  <c r="D35" i="9" s="1"/>
  <c r="E8" i="9"/>
  <c r="E35" i="9" s="1"/>
  <c r="F8" i="9"/>
  <c r="F35" i="9" s="1"/>
  <c r="G8" i="9"/>
  <c r="G35" i="9" s="1"/>
  <c r="H8" i="9"/>
  <c r="H35" i="9" s="1"/>
  <c r="I8" i="9"/>
  <c r="I35" i="9" s="1"/>
  <c r="J8" i="9"/>
  <c r="J35" i="9" s="1"/>
  <c r="K8" i="9"/>
  <c r="K35" i="9" s="1"/>
  <c r="L8" i="9"/>
  <c r="L35" i="9" s="1"/>
  <c r="B14" i="9"/>
  <c r="C14" i="9"/>
  <c r="D14" i="9"/>
  <c r="E14" i="9"/>
  <c r="F14" i="9"/>
  <c r="G14" i="9"/>
  <c r="H14" i="9"/>
  <c r="I14" i="9"/>
  <c r="J14" i="9"/>
  <c r="K14" i="9"/>
  <c r="L14" i="9"/>
  <c r="B23" i="9"/>
  <c r="C23" i="9"/>
  <c r="D23" i="9"/>
  <c r="E23" i="9"/>
  <c r="F23" i="9"/>
  <c r="G23" i="9"/>
  <c r="H23" i="9"/>
  <c r="I23" i="9"/>
  <c r="J23" i="9"/>
  <c r="K23" i="9"/>
  <c r="L23" i="9"/>
  <c r="B74" i="1"/>
  <c r="B52" i="1"/>
  <c r="B57" i="1" s="1"/>
  <c r="C52" i="1"/>
  <c r="D52" i="1"/>
  <c r="E52" i="1"/>
  <c r="F52" i="1"/>
  <c r="G52" i="1"/>
  <c r="H52" i="1"/>
  <c r="I52" i="1"/>
  <c r="J52" i="1"/>
  <c r="L49" i="1"/>
  <c r="M49" i="1"/>
  <c r="N49" i="1"/>
  <c r="O49" i="1"/>
  <c r="O41" i="9" s="1"/>
  <c r="P49" i="1"/>
  <c r="Q49" i="1"/>
  <c r="R49" i="1"/>
  <c r="S49" i="1"/>
  <c r="T49" i="1"/>
  <c r="T41" i="9" s="1"/>
  <c r="U49" i="1"/>
  <c r="V49" i="1"/>
  <c r="W49" i="1"/>
  <c r="W41" i="9" s="1"/>
  <c r="X49" i="1"/>
  <c r="Y49" i="1"/>
  <c r="Z49" i="1"/>
  <c r="AA49" i="1"/>
  <c r="AA52" i="1"/>
  <c r="Z52" i="1"/>
  <c r="Y52" i="1"/>
  <c r="X52" i="1"/>
  <c r="W52" i="1"/>
  <c r="V52" i="1"/>
  <c r="U52" i="1"/>
  <c r="T52" i="1"/>
  <c r="S52" i="1"/>
  <c r="R52" i="1"/>
  <c r="Q52" i="1"/>
  <c r="P52" i="1"/>
  <c r="O52" i="1"/>
  <c r="N52" i="1"/>
  <c r="K52" i="1"/>
  <c r="Z66" i="1" l="1"/>
  <c r="Z68" i="1" s="1"/>
  <c r="Z45" i="9" s="1"/>
  <c r="Z41" i="9"/>
  <c r="Y66" i="1"/>
  <c r="Y68" i="1" s="1"/>
  <c r="Y45" i="9" s="1"/>
  <c r="Y41" i="9"/>
  <c r="P66" i="1"/>
  <c r="P68" i="1" s="1"/>
  <c r="P45" i="9" s="1"/>
  <c r="P41" i="9"/>
  <c r="N66" i="1"/>
  <c r="N68" i="1" s="1"/>
  <c r="N45" i="9" s="1"/>
  <c r="N41" i="9"/>
  <c r="U66" i="1"/>
  <c r="U68" i="1" s="1"/>
  <c r="U45" i="9" s="1"/>
  <c r="U41" i="9"/>
  <c r="L66" i="1"/>
  <c r="L68" i="1" s="1"/>
  <c r="L45" i="9" s="1"/>
  <c r="L41" i="9"/>
  <c r="R66" i="1"/>
  <c r="R68" i="1" s="1"/>
  <c r="R45" i="9" s="1"/>
  <c r="R41" i="9"/>
  <c r="Q66" i="1"/>
  <c r="Q68" i="1" s="1"/>
  <c r="Q45" i="9" s="1"/>
  <c r="Q41" i="9"/>
  <c r="X66" i="1"/>
  <c r="X68" i="1" s="1"/>
  <c r="X45" i="9" s="1"/>
  <c r="X41" i="9"/>
  <c r="V66" i="1"/>
  <c r="V68" i="1" s="1"/>
  <c r="V45" i="9" s="1"/>
  <c r="V41" i="9"/>
  <c r="M66" i="1"/>
  <c r="M68" i="1" s="1"/>
  <c r="M45" i="9" s="1"/>
  <c r="M41" i="9"/>
  <c r="AA66" i="1"/>
  <c r="AA68" i="1" s="1"/>
  <c r="AA45" i="9" s="1"/>
  <c r="AA41" i="9"/>
  <c r="S66" i="1"/>
  <c r="S68" i="1" s="1"/>
  <c r="S45" i="9" s="1"/>
  <c r="S41" i="9"/>
  <c r="C15" i="9"/>
  <c r="C24" i="9" s="1"/>
  <c r="C39" i="9" s="1"/>
  <c r="O71" i="1"/>
  <c r="O66" i="1"/>
  <c r="O68" i="1" s="1"/>
  <c r="O45" i="9" s="1"/>
  <c r="V71" i="1"/>
  <c r="W66" i="1"/>
  <c r="W68" i="1" s="1"/>
  <c r="W45" i="9" s="1"/>
  <c r="T54" i="1"/>
  <c r="T66" i="1"/>
  <c r="T68" i="1" s="1"/>
  <c r="T45" i="9" s="1"/>
  <c r="N71" i="1"/>
  <c r="Z54" i="1"/>
  <c r="R71" i="1"/>
  <c r="Y54" i="1"/>
  <c r="X54" i="1"/>
  <c r="P54" i="1"/>
  <c r="B55" i="10"/>
  <c r="AC53" i="10"/>
  <c r="AC55" i="10" s="1"/>
  <c r="AB24" i="9"/>
  <c r="I15" i="9"/>
  <c r="I46" i="9" s="1"/>
  <c r="I48" i="9" s="1"/>
  <c r="K15" i="9"/>
  <c r="K46" i="9" s="1"/>
  <c r="K48" i="9" s="1"/>
  <c r="G15" i="9"/>
  <c r="J15" i="9"/>
  <c r="B15" i="9"/>
  <c r="B46" i="9" s="1"/>
  <c r="B48" i="9" s="1"/>
  <c r="F15" i="9"/>
  <c r="H15" i="9"/>
  <c r="H46" i="9" s="1"/>
  <c r="H48" i="9" s="1"/>
  <c r="E15" i="9"/>
  <c r="E46" i="9" s="1"/>
  <c r="E48" i="9" s="1"/>
  <c r="D15" i="9"/>
  <c r="L15" i="9"/>
  <c r="W71" i="1"/>
  <c r="B55" i="1"/>
  <c r="Q71" i="1"/>
  <c r="U54" i="1"/>
  <c r="L71" i="1"/>
  <c r="Y71" i="1"/>
  <c r="R54" i="1"/>
  <c r="M71" i="1"/>
  <c r="AA54" i="1"/>
  <c r="S54" i="1"/>
  <c r="Q54" i="1"/>
  <c r="U71" i="1"/>
  <c r="T71" i="1"/>
  <c r="S71" i="1"/>
  <c r="Z71" i="1"/>
  <c r="W54" i="1"/>
  <c r="O54" i="1"/>
  <c r="V54" i="1"/>
  <c r="N54" i="1"/>
  <c r="X71" i="1"/>
  <c r="P71" i="1"/>
  <c r="B15" i="1"/>
  <c r="C15" i="1"/>
  <c r="D15" i="1"/>
  <c r="E15" i="1"/>
  <c r="F15" i="1"/>
  <c r="F59" i="1" s="1"/>
  <c r="G15" i="1"/>
  <c r="G59" i="1" s="1"/>
  <c r="H15" i="1"/>
  <c r="I15" i="1"/>
  <c r="J15" i="1"/>
  <c r="K15" i="1"/>
  <c r="B24" i="1"/>
  <c r="C24" i="1"/>
  <c r="D24" i="1"/>
  <c r="E24" i="1"/>
  <c r="F24" i="1"/>
  <c r="G24" i="1"/>
  <c r="H24" i="1"/>
  <c r="I24" i="1"/>
  <c r="J24" i="1"/>
  <c r="K24" i="1"/>
  <c r="B35" i="1"/>
  <c r="C35" i="1"/>
  <c r="D35" i="1"/>
  <c r="E35" i="1"/>
  <c r="F35" i="1"/>
  <c r="G35" i="1"/>
  <c r="H35" i="1"/>
  <c r="I35" i="1"/>
  <c r="J35" i="1"/>
  <c r="K35" i="1"/>
  <c r="B41" i="1"/>
  <c r="C41" i="1"/>
  <c r="D41" i="1"/>
  <c r="E41" i="1"/>
  <c r="F41" i="1"/>
  <c r="G41" i="1"/>
  <c r="H41" i="1"/>
  <c r="I41" i="1"/>
  <c r="J41" i="1"/>
  <c r="K41" i="1"/>
  <c r="B49" i="1"/>
  <c r="C49" i="1"/>
  <c r="D49" i="1"/>
  <c r="E49" i="1"/>
  <c r="F49" i="1"/>
  <c r="G49" i="1"/>
  <c r="H49" i="1"/>
  <c r="I49" i="1"/>
  <c r="J49" i="1"/>
  <c r="K49" i="1"/>
  <c r="K41" i="9" s="1"/>
  <c r="E55" i="1"/>
  <c r="F55" i="1"/>
  <c r="G55" i="1"/>
  <c r="I55" i="1"/>
  <c r="C55" i="1"/>
  <c r="D55" i="1"/>
  <c r="J55" i="1"/>
  <c r="K55" i="1"/>
  <c r="C57" i="1"/>
  <c r="D57" i="1"/>
  <c r="E57" i="1"/>
  <c r="F57" i="1"/>
  <c r="G57" i="1"/>
  <c r="J57" i="1"/>
  <c r="K57" i="1"/>
  <c r="M52" i="1"/>
  <c r="M54" i="1" s="1"/>
  <c r="L52" i="1"/>
  <c r="L57" i="1" s="1"/>
  <c r="L15" i="1"/>
  <c r="L59" i="1" s="1"/>
  <c r="M15" i="1"/>
  <c r="N15" i="1"/>
  <c r="O15" i="1"/>
  <c r="P15" i="1"/>
  <c r="Q15" i="1"/>
  <c r="R15" i="1"/>
  <c r="S15" i="1"/>
  <c r="T15" i="1"/>
  <c r="U15" i="1"/>
  <c r="V15" i="1"/>
  <c r="W15" i="1"/>
  <c r="Z15" i="1"/>
  <c r="L41" i="1"/>
  <c r="L35" i="1"/>
  <c r="L24" i="1"/>
  <c r="E66" i="1" l="1"/>
  <c r="E68" i="1" s="1"/>
  <c r="E45" i="9" s="1"/>
  <c r="E41" i="9"/>
  <c r="D66" i="1"/>
  <c r="D68" i="1" s="1"/>
  <c r="D45" i="9" s="1"/>
  <c r="D41" i="9"/>
  <c r="G66" i="1"/>
  <c r="G68" i="1" s="1"/>
  <c r="G45" i="9" s="1"/>
  <c r="G41" i="9"/>
  <c r="B66" i="1"/>
  <c r="B68" i="1" s="1"/>
  <c r="B45" i="9" s="1"/>
  <c r="B41" i="9"/>
  <c r="C66" i="1"/>
  <c r="C68" i="1" s="1"/>
  <c r="C45" i="9" s="1"/>
  <c r="C41" i="9"/>
  <c r="F66" i="1"/>
  <c r="F68" i="1" s="1"/>
  <c r="F45" i="9" s="1"/>
  <c r="E49" i="9" s="1"/>
  <c r="F41" i="9"/>
  <c r="J66" i="1"/>
  <c r="J68" i="1" s="1"/>
  <c r="J45" i="9" s="1"/>
  <c r="J41" i="9"/>
  <c r="I66" i="1"/>
  <c r="I68" i="1" s="1"/>
  <c r="I45" i="9" s="1"/>
  <c r="H49" i="9" s="1"/>
  <c r="I41" i="9"/>
  <c r="H66" i="1"/>
  <c r="H68" i="1" s="1"/>
  <c r="H45" i="9" s="1"/>
  <c r="H41" i="9"/>
  <c r="H59" i="1"/>
  <c r="F36" i="9"/>
  <c r="F46" i="9"/>
  <c r="F48" i="9" s="1"/>
  <c r="J36" i="9"/>
  <c r="J46" i="9"/>
  <c r="J48" i="9" s="1"/>
  <c r="G36" i="9"/>
  <c r="G46" i="9"/>
  <c r="G48" i="9" s="1"/>
  <c r="L36" i="9"/>
  <c r="L46" i="9"/>
  <c r="L48" i="9" s="1"/>
  <c r="L49" i="9" s="1"/>
  <c r="D36" i="9"/>
  <c r="D46" i="9"/>
  <c r="D48" i="9" s="1"/>
  <c r="C36" i="9"/>
  <c r="C46" i="9"/>
  <c r="C48" i="9" s="1"/>
  <c r="K71" i="1"/>
  <c r="K66" i="1"/>
  <c r="K68" i="1" s="1"/>
  <c r="K45" i="9" s="1"/>
  <c r="K49" i="9" s="1"/>
  <c r="E59" i="1"/>
  <c r="D59" i="1"/>
  <c r="K59" i="1"/>
  <c r="C59" i="1"/>
  <c r="J59" i="1"/>
  <c r="B59" i="1"/>
  <c r="I59" i="1"/>
  <c r="D71" i="1"/>
  <c r="B56" i="1"/>
  <c r="AB29" i="9"/>
  <c r="AB39" i="9"/>
  <c r="H24" i="9"/>
  <c r="H36" i="9"/>
  <c r="E24" i="9"/>
  <c r="E36" i="9"/>
  <c r="K24" i="9"/>
  <c r="K39" i="9" s="1"/>
  <c r="K36" i="9"/>
  <c r="B24" i="9"/>
  <c r="B39" i="9" s="1"/>
  <c r="B36" i="9"/>
  <c r="I24" i="9"/>
  <c r="I36" i="9"/>
  <c r="G24" i="9"/>
  <c r="J24" i="9"/>
  <c r="J39" i="9" s="1"/>
  <c r="F24" i="9"/>
  <c r="L24" i="9"/>
  <c r="L39" i="9" s="1"/>
  <c r="D24" i="9"/>
  <c r="D39" i="9" s="1"/>
  <c r="C29" i="9"/>
  <c r="C42" i="9" s="1"/>
  <c r="J71" i="1"/>
  <c r="I54" i="1"/>
  <c r="I71" i="1"/>
  <c r="H71" i="1"/>
  <c r="C71" i="1"/>
  <c r="F56" i="1"/>
  <c r="B53" i="1"/>
  <c r="B54" i="1"/>
  <c r="B71" i="1"/>
  <c r="G54" i="1"/>
  <c r="G71" i="1"/>
  <c r="F54" i="1"/>
  <c r="F71" i="1"/>
  <c r="E71" i="1"/>
  <c r="D53" i="1"/>
  <c r="D54" i="1"/>
  <c r="E53" i="1"/>
  <c r="E54" i="1"/>
  <c r="E50" i="1"/>
  <c r="I25" i="1"/>
  <c r="L54" i="1"/>
  <c r="K53" i="1"/>
  <c r="K54" i="1"/>
  <c r="C53" i="1"/>
  <c r="C54" i="1"/>
  <c r="J53" i="1"/>
  <c r="J54" i="1"/>
  <c r="H53" i="1"/>
  <c r="H54" i="1"/>
  <c r="D50" i="1"/>
  <c r="E25" i="1"/>
  <c r="H25" i="1"/>
  <c r="J25" i="1"/>
  <c r="G56" i="1"/>
  <c r="E56" i="1"/>
  <c r="J56" i="1"/>
  <c r="K25" i="1"/>
  <c r="G53" i="1"/>
  <c r="F50" i="1"/>
  <c r="F53" i="1"/>
  <c r="I50" i="1"/>
  <c r="H50" i="1"/>
  <c r="G50" i="1"/>
  <c r="I56" i="1"/>
  <c r="G25" i="1"/>
  <c r="F25" i="1"/>
  <c r="D25" i="1"/>
  <c r="C25" i="1"/>
  <c r="B25" i="1"/>
  <c r="D56" i="1"/>
  <c r="K56" i="1"/>
  <c r="C56" i="1"/>
  <c r="C50" i="1"/>
  <c r="J50" i="1"/>
  <c r="K50" i="1"/>
  <c r="H55" i="1"/>
  <c r="H56" i="1"/>
  <c r="I57" i="1"/>
  <c r="I53" i="1"/>
  <c r="B50" i="1"/>
  <c r="H57" i="1"/>
  <c r="L55" i="1"/>
  <c r="L50" i="1"/>
  <c r="L56" i="1"/>
  <c r="L25" i="1"/>
  <c r="M57" i="1"/>
  <c r="M28" i="9"/>
  <c r="N28" i="9"/>
  <c r="M8" i="9"/>
  <c r="M35" i="9" s="1"/>
  <c r="M14" i="9"/>
  <c r="M23" i="9"/>
  <c r="M24" i="1"/>
  <c r="M35" i="1"/>
  <c r="M59" i="1" s="1"/>
  <c r="M41" i="1"/>
  <c r="M55" i="1"/>
  <c r="N57" i="1"/>
  <c r="N55" i="1"/>
  <c r="N41" i="1"/>
  <c r="N35" i="1"/>
  <c r="N59" i="1" s="1"/>
  <c r="N24" i="1"/>
  <c r="O57" i="1"/>
  <c r="P57" i="1"/>
  <c r="Q57" i="1"/>
  <c r="R57" i="1"/>
  <c r="S57" i="1"/>
  <c r="T57" i="1"/>
  <c r="U57" i="1"/>
  <c r="V57" i="1"/>
  <c r="W57" i="1"/>
  <c r="X57" i="1"/>
  <c r="Y57" i="1"/>
  <c r="Z57" i="1"/>
  <c r="AA57" i="1"/>
  <c r="O28" i="9"/>
  <c r="P28" i="9"/>
  <c r="Q28" i="9"/>
  <c r="R28" i="9"/>
  <c r="S28" i="9"/>
  <c r="T28" i="9"/>
  <c r="U28" i="9"/>
  <c r="V28" i="9"/>
  <c r="W28" i="9"/>
  <c r="X28" i="9"/>
  <c r="Y28" i="9"/>
  <c r="Z28" i="9"/>
  <c r="AA28" i="9"/>
  <c r="N23" i="9"/>
  <c r="P23" i="9"/>
  <c r="Q23" i="9"/>
  <c r="R23" i="9"/>
  <c r="S23" i="9"/>
  <c r="T23" i="9"/>
  <c r="U23" i="9"/>
  <c r="V23" i="9"/>
  <c r="W23" i="9"/>
  <c r="X23" i="9"/>
  <c r="Y23" i="9"/>
  <c r="Z23" i="9"/>
  <c r="AA23" i="9"/>
  <c r="O23" i="9"/>
  <c r="P14" i="9"/>
  <c r="Q14" i="9"/>
  <c r="R14" i="9"/>
  <c r="S14" i="9"/>
  <c r="T14" i="9"/>
  <c r="U14" i="9"/>
  <c r="V14" i="9"/>
  <c r="W14" i="9"/>
  <c r="X14" i="9"/>
  <c r="Y14" i="9"/>
  <c r="Z14" i="9"/>
  <c r="AA14" i="9"/>
  <c r="N14" i="9"/>
  <c r="O14" i="9"/>
  <c r="P8" i="9"/>
  <c r="P35" i="9" s="1"/>
  <c r="Q8" i="9"/>
  <c r="Q35" i="9" s="1"/>
  <c r="R8" i="9"/>
  <c r="R35" i="9" s="1"/>
  <c r="S8" i="9"/>
  <c r="S35" i="9" s="1"/>
  <c r="T8" i="9"/>
  <c r="T35" i="9" s="1"/>
  <c r="U8" i="9"/>
  <c r="U35" i="9" s="1"/>
  <c r="V8" i="9"/>
  <c r="V35" i="9" s="1"/>
  <c r="W8" i="9"/>
  <c r="W35" i="9" s="1"/>
  <c r="X8" i="9"/>
  <c r="X35" i="9" s="1"/>
  <c r="Y8" i="9"/>
  <c r="Y35" i="9" s="1"/>
  <c r="Z8" i="9"/>
  <c r="Z35" i="9" s="1"/>
  <c r="AA8" i="9"/>
  <c r="AA35" i="9" s="1"/>
  <c r="N8" i="9"/>
  <c r="N35" i="9" s="1"/>
  <c r="O8" i="9"/>
  <c r="O35" i="9" s="1"/>
  <c r="AA34" i="1"/>
  <c r="AA35" i="1" s="1"/>
  <c r="AA15" i="1"/>
  <c r="AA59" i="1" s="1"/>
  <c r="Z34" i="1"/>
  <c r="Z35" i="1" s="1"/>
  <c r="Z59" i="1" s="1"/>
  <c r="Z23" i="1"/>
  <c r="Z24" i="1" s="1"/>
  <c r="Z25" i="1" s="1"/>
  <c r="Y34" i="1"/>
  <c r="Y35" i="1" s="1"/>
  <c r="AA24" i="1"/>
  <c r="W24" i="1"/>
  <c r="W25" i="1" s="1"/>
  <c r="X24" i="1"/>
  <c r="Y23" i="1"/>
  <c r="Y24" i="1" s="1"/>
  <c r="Y15" i="1"/>
  <c r="X8" i="1"/>
  <c r="X15" i="1" s="1"/>
  <c r="W34" i="1"/>
  <c r="W35" i="1" s="1"/>
  <c r="W59" i="1" s="1"/>
  <c r="V24" i="1"/>
  <c r="U24" i="1"/>
  <c r="U25" i="1" s="1"/>
  <c r="T24" i="1"/>
  <c r="S24" i="1"/>
  <c r="S25" i="1" s="1"/>
  <c r="R24" i="1"/>
  <c r="R25" i="1" s="1"/>
  <c r="R41" i="1"/>
  <c r="S41" i="1"/>
  <c r="T41" i="1"/>
  <c r="U41" i="1"/>
  <c r="V41" i="1"/>
  <c r="W41" i="1"/>
  <c r="X41" i="1"/>
  <c r="Y41" i="1"/>
  <c r="Z41" i="1"/>
  <c r="AA41" i="1"/>
  <c r="O41" i="1"/>
  <c r="P41" i="1"/>
  <c r="Q41" i="1"/>
  <c r="Q24" i="1"/>
  <c r="P24" i="1"/>
  <c r="P25" i="1" s="1"/>
  <c r="O24" i="1"/>
  <c r="O25" i="1" s="1"/>
  <c r="O55" i="1"/>
  <c r="P55" i="1"/>
  <c r="Q55" i="1"/>
  <c r="R55" i="1"/>
  <c r="S55" i="1"/>
  <c r="T55" i="1"/>
  <c r="U55" i="1"/>
  <c r="V55" i="1"/>
  <c r="W55" i="1"/>
  <c r="X55" i="1"/>
  <c r="Y55" i="1"/>
  <c r="Z55" i="1"/>
  <c r="AA55" i="1"/>
  <c r="O35" i="1"/>
  <c r="O59" i="1" s="1"/>
  <c r="P35" i="1"/>
  <c r="P59" i="1" s="1"/>
  <c r="Q35" i="1"/>
  <c r="Q59" i="1" s="1"/>
  <c r="R35" i="1"/>
  <c r="R59" i="1" s="1"/>
  <c r="S35" i="1"/>
  <c r="S59" i="1" s="1"/>
  <c r="T35" i="1"/>
  <c r="T59" i="1" s="1"/>
  <c r="U35" i="1"/>
  <c r="U59" i="1" s="1"/>
  <c r="V35" i="1"/>
  <c r="V59" i="1" s="1"/>
  <c r="X35" i="1"/>
  <c r="D51" i="1" l="1"/>
  <c r="I49" i="9"/>
  <c r="X59" i="1"/>
  <c r="B49" i="9"/>
  <c r="G49" i="9"/>
  <c r="C49" i="9"/>
  <c r="J49" i="9"/>
  <c r="D49" i="9"/>
  <c r="F49" i="9"/>
  <c r="C43" i="9"/>
  <c r="C37" i="9"/>
  <c r="Y59" i="1"/>
  <c r="B75" i="1" s="1"/>
  <c r="AB37" i="9"/>
  <c r="AB32" i="9"/>
  <c r="F29" i="9"/>
  <c r="F42" i="9" s="1"/>
  <c r="F43" i="9" s="1"/>
  <c r="F39" i="9"/>
  <c r="K29" i="9"/>
  <c r="K42" i="9" s="1"/>
  <c r="K43" i="9" s="1"/>
  <c r="G29" i="9"/>
  <c r="G42" i="9" s="1"/>
  <c r="G43" i="9" s="1"/>
  <c r="G39" i="9"/>
  <c r="E29" i="9"/>
  <c r="E42" i="9" s="1"/>
  <c r="E43" i="9" s="1"/>
  <c r="E39" i="9"/>
  <c r="I29" i="9"/>
  <c r="I42" i="9" s="1"/>
  <c r="I43" i="9" s="1"/>
  <c r="I39" i="9"/>
  <c r="H29" i="9"/>
  <c r="H42" i="9" s="1"/>
  <c r="H43" i="9" s="1"/>
  <c r="H39" i="9"/>
  <c r="J29" i="9"/>
  <c r="J42" i="9" s="1"/>
  <c r="J43" i="9" s="1"/>
  <c r="B29" i="9"/>
  <c r="B42" i="9" s="1"/>
  <c r="B43" i="9" s="1"/>
  <c r="Z15" i="9"/>
  <c r="Z46" i="9" s="1"/>
  <c r="Z48" i="9" s="1"/>
  <c r="Z49" i="9" s="1"/>
  <c r="D29" i="9"/>
  <c r="D42" i="9" s="1"/>
  <c r="D43" i="9" s="1"/>
  <c r="L29" i="9"/>
  <c r="L42" i="9" s="1"/>
  <c r="L43" i="9" s="1"/>
  <c r="C32" i="9"/>
  <c r="F32" i="9"/>
  <c r="K32" i="9"/>
  <c r="AA15" i="9"/>
  <c r="AA46" i="9" s="1"/>
  <c r="AA48" i="9" s="1"/>
  <c r="AA49" i="9" s="1"/>
  <c r="M15" i="9"/>
  <c r="H51" i="1"/>
  <c r="E51" i="1"/>
  <c r="B73" i="1"/>
  <c r="I51" i="1"/>
  <c r="J51" i="1"/>
  <c r="C51" i="1"/>
  <c r="F51" i="1"/>
  <c r="G51" i="1"/>
  <c r="L51" i="1"/>
  <c r="K51" i="1"/>
  <c r="B51" i="1"/>
  <c r="Y25" i="1"/>
  <c r="Y50" i="1" s="1"/>
  <c r="Y51" i="1" s="1"/>
  <c r="O15" i="9"/>
  <c r="O46" i="9" s="1"/>
  <c r="O48" i="9" s="1"/>
  <c r="O49" i="9" s="1"/>
  <c r="P15" i="9"/>
  <c r="X25" i="1"/>
  <c r="X50" i="1" s="1"/>
  <c r="X51" i="1" s="1"/>
  <c r="M50" i="1"/>
  <c r="L53" i="1"/>
  <c r="N15" i="9"/>
  <c r="N56" i="1"/>
  <c r="N25" i="1"/>
  <c r="N50" i="1" s="1"/>
  <c r="N51" i="1" s="1"/>
  <c r="M56" i="1"/>
  <c r="M25" i="1"/>
  <c r="Y15" i="9"/>
  <c r="X15" i="9"/>
  <c r="X46" i="9" s="1"/>
  <c r="X48" i="9" s="1"/>
  <c r="X49" i="9" s="1"/>
  <c r="W15" i="9"/>
  <c r="V15" i="9"/>
  <c r="U15" i="9"/>
  <c r="T15" i="9"/>
  <c r="T46" i="9" s="1"/>
  <c r="T48" i="9" s="1"/>
  <c r="T49" i="9" s="1"/>
  <c r="S15" i="9"/>
  <c r="R15" i="9"/>
  <c r="R46" i="9" s="1"/>
  <c r="R48" i="9" s="1"/>
  <c r="R49" i="9" s="1"/>
  <c r="Q15" i="9"/>
  <c r="AA56" i="1"/>
  <c r="AA25" i="1"/>
  <c r="AA50" i="1" s="1"/>
  <c r="AA51" i="1" s="1"/>
  <c r="Z50" i="1"/>
  <c r="Z51" i="1" s="1"/>
  <c r="Z56" i="1"/>
  <c r="Y56" i="1"/>
  <c r="X56" i="1"/>
  <c r="W50" i="1"/>
  <c r="W51" i="1" s="1"/>
  <c r="W56" i="1"/>
  <c r="V25" i="1"/>
  <c r="V50" i="1" s="1"/>
  <c r="V51" i="1" s="1"/>
  <c r="V56" i="1"/>
  <c r="O56" i="1"/>
  <c r="U50" i="1"/>
  <c r="U51" i="1" s="1"/>
  <c r="U56" i="1"/>
  <c r="T25" i="1"/>
  <c r="T50" i="1" s="1"/>
  <c r="T51" i="1" s="1"/>
  <c r="T56" i="1"/>
  <c r="R50" i="1"/>
  <c r="R51" i="1" s="1"/>
  <c r="O50" i="1"/>
  <c r="O51" i="1" s="1"/>
  <c r="S50" i="1"/>
  <c r="S51" i="1" s="1"/>
  <c r="S56" i="1"/>
  <c r="R56" i="1"/>
  <c r="P50" i="1"/>
  <c r="P51" i="1" s="1"/>
  <c r="Q25" i="1"/>
  <c r="Q50" i="1" s="1"/>
  <c r="Q51" i="1" s="1"/>
  <c r="Q56" i="1"/>
  <c r="P56" i="1"/>
  <c r="Q36" i="9" l="1"/>
  <c r="Q46" i="9"/>
  <c r="Q48" i="9" s="1"/>
  <c r="Q49" i="9" s="1"/>
  <c r="Y36" i="9"/>
  <c r="Y46" i="9"/>
  <c r="Y48" i="9" s="1"/>
  <c r="Y49" i="9" s="1"/>
  <c r="P36" i="9"/>
  <c r="P46" i="9"/>
  <c r="P48" i="9" s="1"/>
  <c r="P49" i="9" s="1"/>
  <c r="S36" i="9"/>
  <c r="S46" i="9"/>
  <c r="S48" i="9" s="1"/>
  <c r="S49" i="9" s="1"/>
  <c r="U36" i="9"/>
  <c r="U46" i="9"/>
  <c r="U48" i="9" s="1"/>
  <c r="U49" i="9" s="1"/>
  <c r="V36" i="9"/>
  <c r="V46" i="9"/>
  <c r="V48" i="9" s="1"/>
  <c r="V49" i="9" s="1"/>
  <c r="N36" i="9"/>
  <c r="N46" i="9"/>
  <c r="N48" i="9" s="1"/>
  <c r="N49" i="9" s="1"/>
  <c r="W36" i="9"/>
  <c r="W46" i="9"/>
  <c r="W48" i="9" s="1"/>
  <c r="W49" i="9" s="1"/>
  <c r="M36" i="9"/>
  <c r="M46" i="9"/>
  <c r="M48" i="9" s="1"/>
  <c r="M49" i="9" s="1"/>
  <c r="L37" i="9"/>
  <c r="K37" i="9"/>
  <c r="F37" i="9"/>
  <c r="D37" i="9"/>
  <c r="J37" i="9"/>
  <c r="G37" i="9"/>
  <c r="B37" i="9"/>
  <c r="I37" i="9"/>
  <c r="I32" i="9"/>
  <c r="E37" i="9"/>
  <c r="E32" i="9"/>
  <c r="G32" i="9"/>
  <c r="H37" i="9"/>
  <c r="H32" i="9"/>
  <c r="O24" i="9"/>
  <c r="O36" i="9"/>
  <c r="T24" i="9"/>
  <c r="T36" i="9"/>
  <c r="Z24" i="9"/>
  <c r="Z36" i="9"/>
  <c r="X24" i="9"/>
  <c r="X36" i="9"/>
  <c r="AA24" i="9"/>
  <c r="AA39" i="9" s="1"/>
  <c r="AA36" i="9"/>
  <c r="R24" i="9"/>
  <c r="R36" i="9"/>
  <c r="B32" i="9"/>
  <c r="J32" i="9"/>
  <c r="L32" i="9"/>
  <c r="D32" i="9"/>
  <c r="P24" i="9"/>
  <c r="P39" i="9" s="1"/>
  <c r="M24" i="9"/>
  <c r="M39" i="9" s="1"/>
  <c r="W24" i="9"/>
  <c r="W39" i="9" s="1"/>
  <c r="W53" i="1"/>
  <c r="Z53" i="1"/>
  <c r="AA53" i="1"/>
  <c r="M51" i="1"/>
  <c r="M53" i="1"/>
  <c r="N24" i="9"/>
  <c r="N39" i="9" s="1"/>
  <c r="N53" i="1"/>
  <c r="P53" i="1"/>
  <c r="R53" i="1"/>
  <c r="O53" i="1"/>
  <c r="V53" i="1"/>
  <c r="X53" i="1"/>
  <c r="Y53" i="1"/>
  <c r="S53" i="1"/>
  <c r="T53" i="1"/>
  <c r="V24" i="9"/>
  <c r="Y24" i="9"/>
  <c r="Y39" i="9" s="1"/>
  <c r="U24" i="9"/>
  <c r="S24" i="9"/>
  <c r="S39" i="9" s="1"/>
  <c r="Q24" i="9"/>
  <c r="Q39" i="9" s="1"/>
  <c r="U53" i="1"/>
  <c r="Q53" i="1"/>
  <c r="O29" i="9" l="1"/>
  <c r="O42" i="9" s="1"/>
  <c r="O43" i="9" s="1"/>
  <c r="O39" i="9"/>
  <c r="U29" i="9"/>
  <c r="U42" i="9" s="1"/>
  <c r="U43" i="9" s="1"/>
  <c r="U39" i="9"/>
  <c r="X29" i="9"/>
  <c r="X42" i="9" s="1"/>
  <c r="X43" i="9" s="1"/>
  <c r="X39" i="9"/>
  <c r="AA29" i="9"/>
  <c r="AA42" i="9" s="1"/>
  <c r="AA43" i="9" s="1"/>
  <c r="V29" i="9"/>
  <c r="V42" i="9" s="1"/>
  <c r="V43" i="9" s="1"/>
  <c r="V39" i="9"/>
  <c r="R29" i="9"/>
  <c r="R42" i="9" s="1"/>
  <c r="R43" i="9" s="1"/>
  <c r="R39" i="9"/>
  <c r="T29" i="9"/>
  <c r="T42" i="9" s="1"/>
  <c r="T43" i="9" s="1"/>
  <c r="T39" i="9"/>
  <c r="Z29" i="9"/>
  <c r="Z42" i="9" s="1"/>
  <c r="Z43" i="9" s="1"/>
  <c r="Z39" i="9"/>
  <c r="Q29" i="9"/>
  <c r="Q42" i="9" s="1"/>
  <c r="Q43" i="9" s="1"/>
  <c r="N29" i="9"/>
  <c r="N42" i="9" s="1"/>
  <c r="N43" i="9" s="1"/>
  <c r="W29" i="9"/>
  <c r="W42" i="9" s="1"/>
  <c r="W43" i="9" s="1"/>
  <c r="M29" i="9"/>
  <c r="M42" i="9" s="1"/>
  <c r="M43" i="9" s="1"/>
  <c r="Y29" i="9"/>
  <c r="Y42" i="9" s="1"/>
  <c r="Y43" i="9" s="1"/>
  <c r="P29" i="9"/>
  <c r="P42" i="9" s="1"/>
  <c r="P43" i="9" s="1"/>
  <c r="S29" i="9"/>
  <c r="S42" i="9" s="1"/>
  <c r="S43" i="9" s="1"/>
  <c r="O32" i="9"/>
  <c r="P37" i="9" l="1"/>
  <c r="AA32" i="9"/>
  <c r="AA37" i="9"/>
  <c r="V37" i="9"/>
  <c r="S37" i="9"/>
  <c r="Y37" i="9"/>
  <c r="M37" i="9"/>
  <c r="T32" i="9"/>
  <c r="U37" i="9"/>
  <c r="R32" i="9"/>
  <c r="Q37" i="9"/>
  <c r="V32" i="9"/>
  <c r="X37" i="9"/>
  <c r="Z37" i="9"/>
  <c r="Z32" i="9"/>
  <c r="X32" i="9"/>
  <c r="T37" i="9"/>
  <c r="R37" i="9"/>
  <c r="O37" i="9"/>
  <c r="W37" i="9"/>
  <c r="N37" i="9"/>
  <c r="W32" i="9"/>
  <c r="M32" i="9"/>
  <c r="P32" i="9"/>
  <c r="N32" i="9"/>
  <c r="S32" i="9"/>
  <c r="Y32" i="9"/>
  <c r="Q32" i="9"/>
  <c r="U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Ravi Nagarajan</author>
  </authors>
  <commentList>
    <comment ref="J36" authorId="0" shapeId="0" xr:uid="{7FC03511-C89D-894C-8CE6-577BC6431C0D}">
      <text>
        <r>
          <rPr>
            <b/>
            <sz val="10"/>
            <color rgb="FF000000"/>
            <rFont val="Tahoma"/>
            <family val="2"/>
          </rPr>
          <t>Ravi Nagarajan:</t>
        </r>
        <r>
          <rPr>
            <sz val="10"/>
            <color rgb="FF000000"/>
            <rFont val="Tahoma"/>
            <family val="2"/>
          </rPr>
          <t xml:space="preserve">
</t>
        </r>
        <r>
          <rPr>
            <sz val="10"/>
            <color rgb="FF000000"/>
            <rFont val="Tahoma"/>
            <family val="2"/>
          </rPr>
          <t>Sale of airplane</t>
        </r>
      </text>
    </comment>
  </commentList>
</comments>
</file>

<file path=xl/sharedStrings.xml><?xml version="1.0" encoding="utf-8"?>
<sst xmlns="http://schemas.openxmlformats.org/spreadsheetml/2006/main" count="219" uniqueCount="200">
  <si>
    <t>ASSETS</t>
  </si>
  <si>
    <t>CURRENT ASSETS:</t>
  </si>
  <si>
    <t xml:space="preserve">   Cash and equivalents</t>
  </si>
  <si>
    <t xml:space="preserve">      Total Current Assets</t>
  </si>
  <si>
    <t>TOTAL ASSETS</t>
  </si>
  <si>
    <t>LIABILITES &amp; SHAREHOLDER EQUITY</t>
  </si>
  <si>
    <t>CURRENT LIABILITIES</t>
  </si>
  <si>
    <t xml:space="preserve">      Total Current Liabilities</t>
  </si>
  <si>
    <t>SHAREHOLDERS' EQUITY</t>
  </si>
  <si>
    <t>Book Value Per Share</t>
  </si>
  <si>
    <t xml:space="preserve">   Inventories</t>
  </si>
  <si>
    <t>LONG TERM ASSETS:</t>
  </si>
  <si>
    <t xml:space="preserve">      Total Long Term Assets</t>
  </si>
  <si>
    <t>LONG TERM LIABILITIES</t>
  </si>
  <si>
    <t>Tangible Book Value Per Share</t>
  </si>
  <si>
    <t xml:space="preserve">   Notes Receivable</t>
  </si>
  <si>
    <t>Gross Profit</t>
  </si>
  <si>
    <t>Gross Margin</t>
  </si>
  <si>
    <t>Net Income</t>
  </si>
  <si>
    <t>Net Net Current Assets</t>
  </si>
  <si>
    <t xml:space="preserve">   Investments and securities</t>
  </si>
  <si>
    <t xml:space="preserve">   Accounts Receivable, net</t>
  </si>
  <si>
    <t xml:space="preserve">   Income Tax Overpayment</t>
  </si>
  <si>
    <t xml:space="preserve">   Prepaid Expenses</t>
  </si>
  <si>
    <t xml:space="preserve">   Deferred Current Income Taxes</t>
  </si>
  <si>
    <t xml:space="preserve">   Property and Equipment, net at cost</t>
  </si>
  <si>
    <t xml:space="preserve">   Projects in Process</t>
  </si>
  <si>
    <t xml:space="preserve">   Long Term Receivables</t>
  </si>
  <si>
    <t xml:space="preserve">   Note Receivable</t>
  </si>
  <si>
    <t xml:space="preserve">   Dividends Payable</t>
  </si>
  <si>
    <t xml:space="preserve">   Deferred Income Taxes</t>
  </si>
  <si>
    <t xml:space="preserve">   Other</t>
  </si>
  <si>
    <t xml:space="preserve">   Notes Payable</t>
  </si>
  <si>
    <t>Dividends Paid per share</t>
  </si>
  <si>
    <t xml:space="preserve">   Notes Payable, Current portion</t>
  </si>
  <si>
    <t xml:space="preserve">   Income Tax Payable</t>
  </si>
  <si>
    <t xml:space="preserve">   Long Term Debt</t>
  </si>
  <si>
    <t>Cash, ST Deposits, and ST Marketable Sec/Shr</t>
  </si>
  <si>
    <t xml:space="preserve">   Investment in Ltd Land Partnership, cost</t>
  </si>
  <si>
    <t>TOTAL LIABILITIES &amp; SHAREHOLDERS' EQUITY</t>
  </si>
  <si>
    <t>Net Sales</t>
  </si>
  <si>
    <t xml:space="preserve">  Less Cost of Goods Sold</t>
  </si>
  <si>
    <t>Operating Expenses:</t>
  </si>
  <si>
    <t xml:space="preserve">   General &amp; Administrative</t>
  </si>
  <si>
    <t xml:space="preserve">   Sales</t>
  </si>
  <si>
    <t xml:space="preserve">   Engineering</t>
  </si>
  <si>
    <t xml:space="preserve">   Rent Paid to Related Parties</t>
  </si>
  <si>
    <t>Total Operating Expenses</t>
  </si>
  <si>
    <t>Income From Operations</t>
  </si>
  <si>
    <t>Operating Margin</t>
  </si>
  <si>
    <t>Other Income (Expense)</t>
  </si>
  <si>
    <t xml:space="preserve">   Other Income</t>
  </si>
  <si>
    <t xml:space="preserve">   Interest Expense</t>
  </si>
  <si>
    <t xml:space="preserve">   Dividend and Interest Income</t>
  </si>
  <si>
    <t>Income Before Taxes</t>
  </si>
  <si>
    <t>Provision for Income Taxes</t>
  </si>
  <si>
    <t xml:space="preserve">   Current Expense</t>
  </si>
  <si>
    <t xml:space="preserve">   Deferred Tax Expense</t>
  </si>
  <si>
    <t>Total Income Tax Expense</t>
  </si>
  <si>
    <t>Effective Tax Rate</t>
  </si>
  <si>
    <t>Avg Number of Shares Outstanding</t>
  </si>
  <si>
    <t xml:space="preserve">   Gain (Loss) on Sale of Assets</t>
  </si>
  <si>
    <t>Marketable securities/share</t>
  </si>
  <si>
    <t xml:space="preserve">Increase In Shareholder Equity </t>
  </si>
  <si>
    <t>George Risk Industries:  Balance Sheets</t>
  </si>
  <si>
    <t xml:space="preserve"> </t>
  </si>
  <si>
    <t>April 30 Fiscal Year End</t>
  </si>
  <si>
    <t xml:space="preserve">   Aircraft ownership depoist payable</t>
  </si>
  <si>
    <t>Stockholders' equity:</t>
  </si>
  <si>
    <t xml:space="preserve">  Convertible preferred stock</t>
  </si>
  <si>
    <t xml:space="preserve">  Common stock</t>
  </si>
  <si>
    <t xml:space="preserve">  Additional paid-in capital</t>
  </si>
  <si>
    <t xml:space="preserve">  Accumulated other comprehensive income</t>
  </si>
  <si>
    <t xml:space="preserve">  Retained earnings</t>
  </si>
  <si>
    <t xml:space="preserve">  Less treasury stock</t>
  </si>
  <si>
    <t>Updated 9/6/2022</t>
  </si>
  <si>
    <r>
      <t xml:space="preserve">   </t>
    </r>
    <r>
      <rPr>
        <sz val="12"/>
        <color theme="1"/>
        <rFont val="Calibri"/>
        <family val="2"/>
        <scheme val="minor"/>
      </rPr>
      <t>Accounts Payable, trade</t>
    </r>
  </si>
  <si>
    <r>
      <t xml:space="preserve">   </t>
    </r>
    <r>
      <rPr>
        <sz val="12"/>
        <color theme="1"/>
        <rFont val="Calibri"/>
        <family val="2"/>
        <scheme val="minor"/>
      </rPr>
      <t>Accrued Payroll and related expenses</t>
    </r>
  </si>
  <si>
    <r>
      <t xml:space="preserve">      </t>
    </r>
    <r>
      <rPr>
        <b/>
        <sz val="12"/>
        <color theme="1"/>
        <rFont val="Calibri"/>
        <family val="2"/>
        <scheme val="minor"/>
      </rPr>
      <t>Total Long Term Liabilities</t>
    </r>
  </si>
  <si>
    <t xml:space="preserve">   Property Taxes</t>
  </si>
  <si>
    <t xml:space="preserve">   Intangible Assets, net</t>
  </si>
  <si>
    <t>Total inc Sh Equity (1997 to 2022)</t>
  </si>
  <si>
    <t>Total Retained Earnings (1997 to 2022)</t>
  </si>
  <si>
    <t>Total Dividends Paid per share (2005 to 2022)</t>
  </si>
  <si>
    <t>For Fiscal Years Ending on</t>
  </si>
  <si>
    <t>Net Margin</t>
  </si>
  <si>
    <t>Total Other Income</t>
  </si>
  <si>
    <t>Earnings Per Share</t>
  </si>
  <si>
    <t xml:space="preserve">   Unrealized Gain (Loss) on Equity Securities</t>
  </si>
  <si>
    <t xml:space="preserve">   Gain (Loss) on Sale of Investments</t>
  </si>
  <si>
    <t>George Risk Industries:  Income Statements</t>
  </si>
  <si>
    <t>George Risk Industries:  Cash Flow Statements</t>
  </si>
  <si>
    <t>Cash Flows From Operating Activities:</t>
  </si>
  <si>
    <t xml:space="preserve">  Net Income</t>
  </si>
  <si>
    <t xml:space="preserve">  Adjustments to reconcile net income to CF from operating activities:</t>
  </si>
  <si>
    <t xml:space="preserve">    Depreciation and amortization</t>
  </si>
  <si>
    <t xml:space="preserve">    Impairment on investments</t>
  </si>
  <si>
    <t xml:space="preserve">    Unrealized (gain) loss on equity securities</t>
  </si>
  <si>
    <t xml:space="preserve">    PPP loan forgiveness</t>
  </si>
  <si>
    <t xml:space="preserve">    Provision for credit losses on accounts receivable</t>
  </si>
  <si>
    <t xml:space="preserve">    Reserve for obsolete inventory</t>
  </si>
  <si>
    <t xml:space="preserve">    (Gain) on sale of assets</t>
  </si>
  <si>
    <t xml:space="preserve">    Deferred income taxes</t>
  </si>
  <si>
    <t xml:space="preserve">    Changes in assets and liabilities</t>
  </si>
  <si>
    <t xml:space="preserve">      (Increase) decrease in:</t>
  </si>
  <si>
    <t xml:space="preserve">        Accounts receivable</t>
  </si>
  <si>
    <t xml:space="preserve">        Inventories</t>
  </si>
  <si>
    <t xml:space="preserve">        Prepaid exepnses</t>
  </si>
  <si>
    <t xml:space="preserve">        Other receivables</t>
  </si>
  <si>
    <t xml:space="preserve">      Increase (decrease) in:</t>
  </si>
  <si>
    <t xml:space="preserve">        Accounts payable</t>
  </si>
  <si>
    <t xml:space="preserve">        Accrued expenses</t>
  </si>
  <si>
    <t xml:space="preserve">        Income tax payable</t>
  </si>
  <si>
    <t>Net cash from operating activities</t>
  </si>
  <si>
    <t>Cash Flows From Investing Activities</t>
  </si>
  <si>
    <t xml:space="preserve">  Proceeds from sale of assets</t>
  </si>
  <si>
    <t xml:space="preserve">  (Purchase) of property and equipment</t>
  </si>
  <si>
    <t xml:space="preserve">  Proceeds from sale of marketable securities</t>
  </si>
  <si>
    <t xml:space="preserve">  (Purchase) of marketable securities</t>
  </si>
  <si>
    <t xml:space="preserve">  (Purchase) of long-term investment</t>
  </si>
  <si>
    <t>Net cash from investing activities</t>
  </si>
  <si>
    <t>Cash Flows From Financing Activities:</t>
  </si>
  <si>
    <t xml:space="preserve">  (Purchase) of treasury stock</t>
  </si>
  <si>
    <t xml:space="preserve">  Dividends paid</t>
  </si>
  <si>
    <t>Net cash from financing activities</t>
  </si>
  <si>
    <t>Net Change in Cash and Cash Equivalents</t>
  </si>
  <si>
    <t>Cash and Cash Equivalents, beginning of year</t>
  </si>
  <si>
    <t>Cash and Cash Equivalents, end of year</t>
  </si>
  <si>
    <t xml:space="preserve">        Income tax overpayment</t>
  </si>
  <si>
    <t xml:space="preserve">  Proceeds from issuance of new debt</t>
  </si>
  <si>
    <t xml:space="preserve">  (Purchase) of intangible asset</t>
  </si>
  <si>
    <t xml:space="preserve">    Realized (gain) loss on sale of investments</t>
  </si>
  <si>
    <t xml:space="preserve">  Collection of loans to employees</t>
  </si>
  <si>
    <t xml:space="preserve">    (Gain) Loss on sale of property and equipment</t>
  </si>
  <si>
    <t xml:space="preserve">  Other assets manufactured and purchased</t>
  </si>
  <si>
    <t xml:space="preserve">  Loans made to employees</t>
  </si>
  <si>
    <t xml:space="preserve">  Principal payments on long-term debt</t>
  </si>
  <si>
    <t xml:space="preserve">    Economic development debt relieved</t>
  </si>
  <si>
    <t xml:space="preserve">        Notes receivable</t>
  </si>
  <si>
    <t xml:space="preserve">        Long-term receivable</t>
  </si>
  <si>
    <t xml:space="preserve">  (Purchase) of preferred stock</t>
  </si>
  <si>
    <t xml:space="preserve">  (Purchase) of Land Limited Partnership, at cost</t>
  </si>
  <si>
    <t>TOTALS</t>
  </si>
  <si>
    <t>Ten Year Cash Flow Summary/Analysis</t>
  </si>
  <si>
    <t>FY13 - FY22</t>
  </si>
  <si>
    <t>Cash flow from operations</t>
  </si>
  <si>
    <t>Capital expenditures</t>
  </si>
  <si>
    <t>Free Cash Flow</t>
  </si>
  <si>
    <t>Free Cash Flow (CFO-Capex)</t>
  </si>
  <si>
    <t>FCF as % of Net Income</t>
  </si>
  <si>
    <t>Proceeds of forgiven PPP loan</t>
  </si>
  <si>
    <t>FCF + PPP</t>
  </si>
  <si>
    <t>Selected uses of cash:</t>
  </si>
  <si>
    <t>Dividends</t>
  </si>
  <si>
    <t>Share repurchases</t>
  </si>
  <si>
    <t>Total selected uses of cash</t>
  </si>
  <si>
    <t>Current Ratio</t>
  </si>
  <si>
    <t>Estimate of excess capital:</t>
  </si>
  <si>
    <t>Marketable securities portfolio</t>
  </si>
  <si>
    <t>Total excess capital</t>
  </si>
  <si>
    <t>Cash in excess of $2 million</t>
  </si>
  <si>
    <t>Shareholders equity</t>
  </si>
  <si>
    <t>Less excess capital</t>
  </si>
  <si>
    <t>Shareholders equity needed to run business</t>
  </si>
  <si>
    <t>Return on average equity</t>
  </si>
  <si>
    <t>Shareholders equity at year-end</t>
  </si>
  <si>
    <t>Net income</t>
  </si>
  <si>
    <t>Capital needed to run operating business at year-end</t>
  </si>
  <si>
    <t>Operating income</t>
  </si>
  <si>
    <t>Blended statutory tax rate</t>
  </si>
  <si>
    <t xml:space="preserve">Estimated net income </t>
  </si>
  <si>
    <t>Return on aveage capital needed to run the business</t>
  </si>
  <si>
    <t>Share Count</t>
  </si>
  <si>
    <t>Actual</t>
  </si>
  <si>
    <t>Proposed</t>
  </si>
  <si>
    <t>Pro-Forma Condensed Balance Sheets as of 4/30/2022</t>
  </si>
  <si>
    <t>Total current assets</t>
  </si>
  <si>
    <t>Current assets:</t>
  </si>
  <si>
    <t xml:space="preserve">  Cash and equivalents</t>
  </si>
  <si>
    <t xml:space="preserve">  Accounts receivable, net</t>
  </si>
  <si>
    <t xml:space="preserve">  Inventories</t>
  </si>
  <si>
    <t xml:space="preserve">  Prepaid expenses and other</t>
  </si>
  <si>
    <t xml:space="preserve">  Investments and securities</t>
  </si>
  <si>
    <t>Total Assets</t>
  </si>
  <si>
    <t>Assets</t>
  </si>
  <si>
    <t>Liabilities and Shareholders' Equity</t>
  </si>
  <si>
    <t>Current liabilities:</t>
  </si>
  <si>
    <t>Total current liabilities</t>
  </si>
  <si>
    <t>Total liabilities</t>
  </si>
  <si>
    <t>Total liabilities and shareholders equity</t>
  </si>
  <si>
    <t>Deferred income tax liability (asset)</t>
  </si>
  <si>
    <t>Cash flows from operations</t>
  </si>
  <si>
    <t>Selected Cash Flow Data:</t>
  </si>
  <si>
    <t>Less capital expenditures</t>
  </si>
  <si>
    <t>Free cash flow</t>
  </si>
  <si>
    <t>Cash paid to acquire LSDI</t>
  </si>
  <si>
    <t>Cash component of LSDI in Fiscal 2018</t>
  </si>
  <si>
    <t>Total selected uses of cash:</t>
  </si>
  <si>
    <t>Cumulative Totals</t>
  </si>
  <si>
    <t>Fiscal Years Ending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</si>
</sst>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_(* #,##0_);_(* \(#,##0\);_(* &quot;-&quot;??_);_(@_)"/>
    <numFmt numFmtId="166" formatCode="0.0%"/>
    <numFmt numFmtId="167" formatCode="_(* #,##0.0_);_(* \(#,##0.0\);_(* &quot;-&quot;??_);_(@_)"/>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b/>
      <sz val="12"/>
      <color theme="1"/>
      <name val="Calibri"/>
      <family val="2"/>
    </font>
    <font>
      <sz val="12"/>
      <color theme="1"/>
      <name val="Calibri"/>
      <family val="2"/>
    </font>
    <font>
      <b/>
      <sz val="14"/>
      <color theme="1"/>
      <name val="Calibri"/>
      <family val="2"/>
    </font>
    <font>
      <sz val="10"/>
      <color rgb="FF000000"/>
      <name val="Tahoma"/>
      <family val="2"/>
    </font>
    <font>
      <b/>
      <sz val="10"/>
      <color rgb="FF000000"/>
      <name val="Tahoma"/>
      <family val="2"/>
    </font>
    <font>
      <i/>
      <sz val="12"/>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s>
  <borders count="9">
    <border>
      <left/>
      <right/>
      <top/>
      <bottom/>
      <diagonal/>
    </border>
    <border>
      <left/>
      <right/>
      <top style="thin">
        <color auto="1"/>
      </top>
      <bottom/>
      <diagonal/>
    </border>
    <border>
      <left/>
      <right/>
      <top style="thin">
        <color auto="1"/>
      </top>
      <bottom style="double">
        <color auto="1"/>
      </bottom>
      <diagonal/>
    </border>
    <border>
      <left/>
      <right/>
      <top style="thin">
        <color indexed="64"/>
      </top>
      <bottom style="thin">
        <color auto="1"/>
      </bottom>
      <diagonal/>
    </border>
    <border>
      <left/>
      <right style="double">
        <color auto="1"/>
      </right>
      <top/>
      <bottom/>
      <diagonal/>
    </border>
    <border>
      <left/>
      <right style="double">
        <color auto="1"/>
      </right>
      <top style="thin">
        <color auto="1"/>
      </top>
      <bottom/>
      <diagonal/>
    </border>
    <border>
      <left/>
      <right style="double">
        <color auto="1"/>
      </right>
      <top style="thin">
        <color auto="1"/>
      </top>
      <bottom style="double">
        <color auto="1"/>
      </bottom>
      <diagonal/>
    </border>
    <border>
      <left/>
      <right/>
      <top/>
      <bottom style="thin">
        <color indexed="64"/>
      </bottom>
      <diagonal/>
    </border>
    <border>
      <left/>
      <right style="double">
        <color auto="1"/>
      </right>
      <top/>
      <bottom style="thin">
        <color indexed="64"/>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cellStyleXfs>
  <cellXfs count="107">
    <xf numFmtId="0" fontId="0" fillId="0" borderId="0" xfId="0"/>
    <xf numFmtId="0" fontId="8" fillId="3" borderId="0" xfId="0" applyFont="1" applyFill="1"/>
    <xf numFmtId="0" fontId="7" fillId="3" borderId="0" xfId="0" applyFont="1" applyFill="1"/>
    <xf numFmtId="0" fontId="7" fillId="0" borderId="0" xfId="0" applyFont="1"/>
    <xf numFmtId="165" fontId="5" fillId="0" borderId="0" xfId="1" applyNumberFormat="1" applyFont="1"/>
    <xf numFmtId="0" fontId="5" fillId="0" borderId="0" xfId="0" applyFont="1"/>
    <xf numFmtId="164" fontId="9" fillId="0" borderId="0" xfId="0" applyNumberFormat="1" applyFont="1"/>
    <xf numFmtId="164" fontId="5" fillId="0" borderId="0" xfId="0" applyNumberFormat="1" applyFont="1"/>
    <xf numFmtId="14" fontId="7" fillId="0" borderId="0" xfId="0" applyNumberFormat="1" applyFont="1"/>
    <xf numFmtId="165" fontId="5" fillId="0" borderId="0" xfId="1" applyNumberFormat="1" applyFont="1" applyFill="1"/>
    <xf numFmtId="165" fontId="7" fillId="0" borderId="1" xfId="1" applyNumberFormat="1" applyFont="1" applyFill="1" applyBorder="1"/>
    <xf numFmtId="165" fontId="7" fillId="0" borderId="1" xfId="1" applyNumberFormat="1" applyFont="1" applyBorder="1"/>
    <xf numFmtId="165" fontId="7" fillId="0" borderId="2" xfId="1" applyNumberFormat="1" applyFont="1" applyFill="1" applyBorder="1"/>
    <xf numFmtId="165" fontId="7" fillId="0" borderId="2" xfId="1" applyNumberFormat="1" applyFont="1" applyBorder="1"/>
    <xf numFmtId="165" fontId="7" fillId="3" borderId="1" xfId="1" applyNumberFormat="1" applyFont="1" applyFill="1" applyBorder="1"/>
    <xf numFmtId="165" fontId="7" fillId="0" borderId="0" xfId="1" applyNumberFormat="1" applyFont="1" applyFill="1"/>
    <xf numFmtId="165" fontId="7" fillId="0" borderId="0" xfId="1" applyNumberFormat="1" applyFont="1"/>
    <xf numFmtId="43" fontId="7" fillId="0" borderId="0" xfId="1" applyFont="1" applyFill="1"/>
    <xf numFmtId="43" fontId="7" fillId="0" borderId="0" xfId="1" applyFont="1"/>
    <xf numFmtId="43" fontId="7" fillId="0" borderId="0" xfId="0" applyNumberFormat="1" applyFont="1"/>
    <xf numFmtId="43" fontId="5" fillId="0" borderId="0" xfId="1" applyFont="1"/>
    <xf numFmtId="43" fontId="5" fillId="0" borderId="0" xfId="0" applyNumberFormat="1" applyFont="1"/>
    <xf numFmtId="165" fontId="5" fillId="0" borderId="0" xfId="0" applyNumberFormat="1" applyFont="1"/>
    <xf numFmtId="14" fontId="7" fillId="3" borderId="0" xfId="0" applyNumberFormat="1" applyFont="1" applyFill="1" applyAlignment="1">
      <alignment horizontal="center"/>
    </xf>
    <xf numFmtId="14" fontId="7" fillId="3" borderId="0" xfId="1" applyNumberFormat="1" applyFont="1" applyFill="1" applyAlignment="1">
      <alignment horizontal="center"/>
    </xf>
    <xf numFmtId="165" fontId="7" fillId="0" borderId="0" xfId="0" applyNumberFormat="1" applyFont="1"/>
    <xf numFmtId="165" fontId="11" fillId="0" borderId="0" xfId="1" applyNumberFormat="1" applyFont="1" applyFill="1"/>
    <xf numFmtId="0" fontId="11" fillId="0" borderId="0" xfId="0" applyFont="1"/>
    <xf numFmtId="0" fontId="10" fillId="0" borderId="0" xfId="0" applyFont="1"/>
    <xf numFmtId="14" fontId="10" fillId="0" borderId="0" xfId="0" applyNumberFormat="1" applyFont="1"/>
    <xf numFmtId="165" fontId="11" fillId="0" borderId="0" xfId="1" applyNumberFormat="1" applyFont="1"/>
    <xf numFmtId="43" fontId="11" fillId="0" borderId="0" xfId="1" applyFont="1"/>
    <xf numFmtId="165" fontId="11" fillId="0" borderId="1" xfId="1" applyNumberFormat="1" applyFont="1" applyFill="1" applyBorder="1"/>
    <xf numFmtId="165" fontId="11" fillId="0" borderId="1" xfId="1" applyNumberFormat="1" applyFont="1" applyBorder="1"/>
    <xf numFmtId="165" fontId="11" fillId="0" borderId="0" xfId="1" applyNumberFormat="1" applyFont="1" applyFill="1" applyBorder="1"/>
    <xf numFmtId="165" fontId="11" fillId="0" borderId="0" xfId="1" applyNumberFormat="1" applyFont="1" applyBorder="1"/>
    <xf numFmtId="165" fontId="10" fillId="0" borderId="0" xfId="1" applyNumberFormat="1" applyFont="1" applyFill="1"/>
    <xf numFmtId="165" fontId="10" fillId="0" borderId="0" xfId="1" applyNumberFormat="1" applyFont="1"/>
    <xf numFmtId="165" fontId="10" fillId="2" borderId="0" xfId="1" applyNumberFormat="1" applyFont="1" applyFill="1"/>
    <xf numFmtId="43" fontId="10" fillId="0" borderId="0" xfId="1" applyFont="1" applyFill="1"/>
    <xf numFmtId="43" fontId="10" fillId="0" borderId="0" xfId="1" applyFont="1"/>
    <xf numFmtId="165" fontId="10" fillId="0" borderId="1" xfId="1" applyNumberFormat="1" applyFont="1" applyBorder="1"/>
    <xf numFmtId="0" fontId="10" fillId="3" borderId="0" xfId="0" applyFont="1" applyFill="1"/>
    <xf numFmtId="164" fontId="11" fillId="0" borderId="0" xfId="0" applyNumberFormat="1" applyFont="1"/>
    <xf numFmtId="14" fontId="10" fillId="3" borderId="0" xfId="0" applyNumberFormat="1" applyFont="1" applyFill="1" applyAlignment="1">
      <alignment horizontal="center"/>
    </xf>
    <xf numFmtId="14" fontId="10" fillId="3" borderId="0" xfId="1" applyNumberFormat="1" applyFont="1" applyFill="1" applyAlignment="1">
      <alignment horizontal="center"/>
    </xf>
    <xf numFmtId="164" fontId="11" fillId="3" borderId="0" xfId="0" applyNumberFormat="1" applyFont="1" applyFill="1"/>
    <xf numFmtId="165" fontId="10" fillId="0" borderId="2" xfId="1" applyNumberFormat="1" applyFont="1" applyFill="1" applyBorder="1"/>
    <xf numFmtId="0" fontId="11" fillId="0" borderId="1" xfId="0" applyFont="1" applyBorder="1"/>
    <xf numFmtId="165" fontId="11" fillId="0" borderId="3" xfId="1" applyNumberFormat="1" applyFont="1" applyBorder="1"/>
    <xf numFmtId="165" fontId="11" fillId="0" borderId="3" xfId="1" applyNumberFormat="1" applyFont="1" applyFill="1" applyBorder="1"/>
    <xf numFmtId="166" fontId="10" fillId="0" borderId="0" xfId="2" applyNumberFormat="1" applyFont="1"/>
    <xf numFmtId="0" fontId="12" fillId="3" borderId="0" xfId="0" applyFont="1" applyFill="1"/>
    <xf numFmtId="165" fontId="10" fillId="0" borderId="0" xfId="1" applyNumberFormat="1" applyFont="1" applyFill="1" applyBorder="1"/>
    <xf numFmtId="165" fontId="10" fillId="0" borderId="0" xfId="1" applyNumberFormat="1" applyFont="1" applyBorder="1"/>
    <xf numFmtId="165" fontId="10" fillId="0" borderId="2" xfId="1" applyNumberFormat="1" applyFont="1" applyBorder="1"/>
    <xf numFmtId="165" fontId="10" fillId="0" borderId="3" xfId="1" applyNumberFormat="1" applyFont="1" applyBorder="1"/>
    <xf numFmtId="14" fontId="10" fillId="3" borderId="0" xfId="1" applyNumberFormat="1" applyFont="1" applyFill="1" applyBorder="1" applyAlignment="1">
      <alignment horizontal="center"/>
    </xf>
    <xf numFmtId="14" fontId="10" fillId="3" borderId="4" xfId="0" applyNumberFormat="1" applyFont="1" applyFill="1" applyBorder="1" applyAlignment="1">
      <alignment horizontal="center"/>
    </xf>
    <xf numFmtId="165" fontId="11" fillId="0" borderId="4" xfId="1" applyNumberFormat="1" applyFont="1" applyFill="1" applyBorder="1"/>
    <xf numFmtId="165" fontId="10" fillId="0" borderId="4" xfId="1" applyNumberFormat="1" applyFont="1" applyFill="1" applyBorder="1"/>
    <xf numFmtId="165" fontId="10" fillId="0" borderId="5" xfId="1" applyNumberFormat="1" applyFont="1" applyBorder="1"/>
    <xf numFmtId="165" fontId="11" fillId="0" borderId="4" xfId="1" applyNumberFormat="1" applyFont="1" applyBorder="1"/>
    <xf numFmtId="165" fontId="11" fillId="0" borderId="5" xfId="1" applyNumberFormat="1" applyFont="1" applyBorder="1"/>
    <xf numFmtId="165" fontId="10" fillId="0" borderId="6" xfId="1" applyNumberFormat="1" applyFont="1" applyBorder="1"/>
    <xf numFmtId="165" fontId="11" fillId="0" borderId="0" xfId="0" applyNumberFormat="1" applyFont="1"/>
    <xf numFmtId="9" fontId="11" fillId="0" borderId="0" xfId="2" applyFont="1" applyFill="1"/>
    <xf numFmtId="165" fontId="10" fillId="0" borderId="0" xfId="0" applyNumberFormat="1" applyFont="1"/>
    <xf numFmtId="165" fontId="10" fillId="0" borderId="2" xfId="0" applyNumberFormat="1" applyFont="1" applyBorder="1"/>
    <xf numFmtId="0" fontId="10" fillId="3" borderId="7" xfId="0" applyFont="1" applyFill="1" applyBorder="1"/>
    <xf numFmtId="165" fontId="10" fillId="3" borderId="7" xfId="1" applyNumberFormat="1" applyFont="1" applyFill="1" applyBorder="1"/>
    <xf numFmtId="165" fontId="11" fillId="0" borderId="1" xfId="0" applyNumberFormat="1" applyFont="1" applyBorder="1"/>
    <xf numFmtId="0" fontId="4" fillId="0" borderId="0" xfId="0" applyFont="1"/>
    <xf numFmtId="167" fontId="5" fillId="0" borderId="0" xfId="1" applyNumberFormat="1" applyFont="1"/>
    <xf numFmtId="167" fontId="4" fillId="0" borderId="0" xfId="1" applyNumberFormat="1" applyFont="1" applyFill="1"/>
    <xf numFmtId="165" fontId="7" fillId="0" borderId="1" xfId="0" applyNumberFormat="1" applyFont="1" applyBorder="1"/>
    <xf numFmtId="9" fontId="11" fillId="0" borderId="0" xfId="2" applyFont="1"/>
    <xf numFmtId="9" fontId="15" fillId="0" borderId="0" xfId="2" applyFont="1"/>
    <xf numFmtId="0" fontId="15" fillId="0" borderId="0" xfId="0" applyFont="1"/>
    <xf numFmtId="166" fontId="11" fillId="0" borderId="0" xfId="0" applyNumberFormat="1" applyFont="1"/>
    <xf numFmtId="166" fontId="15" fillId="0" borderId="0" xfId="2" applyNumberFormat="1" applyFont="1"/>
    <xf numFmtId="167" fontId="7" fillId="0" borderId="0" xfId="1" applyNumberFormat="1" applyFont="1" applyFill="1"/>
    <xf numFmtId="0" fontId="3" fillId="0" borderId="0" xfId="0" applyFont="1"/>
    <xf numFmtId="0" fontId="7" fillId="3" borderId="7" xfId="0" applyFont="1" applyFill="1" applyBorder="1"/>
    <xf numFmtId="0" fontId="7" fillId="3" borderId="7" xfId="0" applyFont="1" applyFill="1" applyBorder="1" applyAlignment="1">
      <alignment horizontal="center"/>
    </xf>
    <xf numFmtId="0" fontId="3" fillId="0" borderId="0" xfId="0" applyFont="1" applyAlignment="1">
      <alignment horizontal="center"/>
    </xf>
    <xf numFmtId="165" fontId="3" fillId="0" borderId="0" xfId="1" applyNumberFormat="1" applyFont="1" applyFill="1"/>
    <xf numFmtId="165" fontId="3" fillId="0" borderId="0" xfId="1" applyNumberFormat="1" applyFont="1" applyFill="1" applyBorder="1" applyAlignment="1">
      <alignment horizontal="center"/>
    </xf>
    <xf numFmtId="165" fontId="5" fillId="0" borderId="1" xfId="1" applyNumberFormat="1" applyFont="1" applyBorder="1"/>
    <xf numFmtId="0" fontId="7" fillId="0" borderId="0" xfId="0" applyFont="1" applyAlignment="1">
      <alignment horizontal="center"/>
    </xf>
    <xf numFmtId="0" fontId="3" fillId="5" borderId="0" xfId="0" applyFont="1" applyFill="1"/>
    <xf numFmtId="165" fontId="5" fillId="5" borderId="0" xfId="1" applyNumberFormat="1" applyFont="1" applyFill="1"/>
    <xf numFmtId="165" fontId="10" fillId="0" borderId="1" xfId="0" applyNumberFormat="1" applyFont="1" applyBorder="1"/>
    <xf numFmtId="14" fontId="10" fillId="3" borderId="7" xfId="0" applyNumberFormat="1" applyFont="1" applyFill="1" applyBorder="1" applyAlignment="1">
      <alignment horizontal="center"/>
    </xf>
    <xf numFmtId="14" fontId="10" fillId="3" borderId="8" xfId="0" applyNumberFormat="1" applyFont="1" applyFill="1" applyBorder="1" applyAlignment="1">
      <alignment horizontal="center"/>
    </xf>
    <xf numFmtId="165" fontId="11" fillId="0" borderId="4" xfId="0" applyNumberFormat="1" applyFont="1" applyBorder="1"/>
    <xf numFmtId="165" fontId="10" fillId="0" borderId="5" xfId="0" applyNumberFormat="1" applyFont="1" applyBorder="1"/>
    <xf numFmtId="0" fontId="11" fillId="0" borderId="4" xfId="0" applyFont="1" applyBorder="1"/>
    <xf numFmtId="0" fontId="11" fillId="3" borderId="0" xfId="0" applyFont="1" applyFill="1"/>
    <xf numFmtId="0" fontId="2" fillId="0" borderId="0" xfId="3"/>
    <xf numFmtId="164" fontId="10" fillId="3" borderId="0" xfId="0" applyNumberFormat="1" applyFont="1" applyFill="1" applyAlignment="1">
      <alignment horizontal="center"/>
    </xf>
    <xf numFmtId="164" fontId="10" fillId="3" borderId="4" xfId="0" applyNumberFormat="1" applyFont="1" applyFill="1" applyBorder="1" applyAlignment="1">
      <alignment horizontal="center"/>
    </xf>
    <xf numFmtId="14" fontId="10" fillId="4" borderId="0" xfId="0" applyNumberFormat="1" applyFont="1" applyFill="1" applyAlignment="1">
      <alignment horizontal="center" vertical="center"/>
    </xf>
    <xf numFmtId="0" fontId="10" fillId="3" borderId="0" xfId="0" applyFont="1" applyFill="1" applyAlignment="1">
      <alignment horizontal="center"/>
    </xf>
    <xf numFmtId="0" fontId="10" fillId="3" borderId="4" xfId="0" applyFont="1" applyFill="1" applyBorder="1" applyAlignment="1">
      <alignment horizontal="center"/>
    </xf>
    <xf numFmtId="0" fontId="10" fillId="4" borderId="0" xfId="0" applyFont="1" applyFill="1" applyAlignment="1">
      <alignment horizontal="center" vertical="center"/>
    </xf>
    <xf numFmtId="0" fontId="10" fillId="4" borderId="7" xfId="0" applyFont="1" applyFill="1" applyBorder="1" applyAlignment="1">
      <alignment horizontal="center" vertical="center"/>
    </xf>
  </cellXfs>
  <cellStyles count="4">
    <cellStyle name="Comma" xfId="1" builtinId="3"/>
    <cellStyle name="Normal" xfId="0" builtinId="0"/>
    <cellStyle name="Normal 2" xfId="3" xr:uid="{63F94F32-4B87-B040-95F8-6CDA1731F2AF}"/>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53</xdr:row>
      <xdr:rowOff>0</xdr:rowOff>
    </xdr:to>
    <xdr:sp macro="" textlink="">
      <xdr:nvSpPr>
        <xdr:cNvPr id="2" name="TextBox 1">
          <a:extLst>
            <a:ext uri="{FF2B5EF4-FFF2-40B4-BE49-F238E27FC236}">
              <a16:creationId xmlns:a16="http://schemas.microsoft.com/office/drawing/2014/main" id="{E2EFFDF1-426C-6943-8F20-3F0355391661}"/>
            </a:ext>
          </a:extLst>
        </xdr:cNvPr>
        <xdr:cNvSpPr txBox="1"/>
      </xdr:nvSpPr>
      <xdr:spPr>
        <a:xfrm>
          <a:off x="0" y="0"/>
          <a:ext cx="14046200" cy="1076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3600" b="1" u="sng">
              <a:solidFill>
                <a:schemeClr val="dk1"/>
              </a:solidFill>
              <a:effectLst/>
              <a:latin typeface="+mn-lt"/>
              <a:ea typeface="+mn-ea"/>
              <a:cs typeface="+mn-cs"/>
            </a:rPr>
            <a:t>George Risk Industries</a:t>
          </a:r>
        </a:p>
        <a:p>
          <a:pPr algn="l"/>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September 2022</a:t>
          </a:r>
        </a:p>
        <a:p>
          <a:endParaRPr lang="en-US" sz="1800" b="0" u="none">
            <a:solidFill>
              <a:schemeClr val="dk1"/>
            </a:solidFill>
            <a:effectLst/>
            <a:latin typeface="+mn-lt"/>
            <a:ea typeface="+mn-ea"/>
            <a:cs typeface="+mn-cs"/>
          </a:endParaRPr>
        </a:p>
        <a:p>
          <a:r>
            <a:rPr lang="en-US" sz="1600" b="1" u="none">
              <a:solidFill>
                <a:schemeClr val="dk1"/>
              </a:solidFill>
              <a:effectLst/>
              <a:latin typeface="+mn-lt"/>
              <a:ea typeface="+mn-ea"/>
              <a:cs typeface="+mn-cs"/>
            </a:rPr>
            <a:t>TERMS OF USE</a:t>
          </a: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George Risk Industries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A7DA3-63BA-C444-9ED1-5C8304AB03EA}">
  <dimension ref="A1"/>
  <sheetViews>
    <sheetView tabSelected="1" workbookViewId="0">
      <selection activeCell="G56" sqref="G56"/>
    </sheetView>
  </sheetViews>
  <sheetFormatPr baseColWidth="10" defaultRowHeight="16" x14ac:dyDescent="0.2"/>
  <cols>
    <col min="1" max="16384" width="10.83203125" style="9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9"/>
  <sheetViews>
    <sheetView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9.1640625" defaultRowHeight="16" x14ac:dyDescent="0.2"/>
  <cols>
    <col min="1" max="1" width="46.83203125" style="5" bestFit="1" customWidth="1"/>
    <col min="2" max="13" width="11.83203125" style="5" customWidth="1"/>
    <col min="14" max="14" width="11.83203125" style="4" customWidth="1"/>
    <col min="15" max="26" width="11.83203125" style="5" customWidth="1"/>
    <col min="27" max="27" width="11.83203125" style="4" customWidth="1"/>
    <col min="28" max="37" width="11" style="5" customWidth="1"/>
    <col min="38" max="16384" width="9.1640625" style="5"/>
  </cols>
  <sheetData>
    <row r="1" spans="1:40" ht="19" x14ac:dyDescent="0.25">
      <c r="A1" s="1" t="s">
        <v>64</v>
      </c>
      <c r="B1" s="3"/>
      <c r="C1" s="3"/>
      <c r="D1" s="3"/>
      <c r="E1" s="3"/>
      <c r="F1" s="3"/>
      <c r="G1" s="3"/>
      <c r="H1" s="3"/>
      <c r="I1" s="3"/>
      <c r="J1" s="3"/>
      <c r="K1" s="3"/>
      <c r="L1" s="3"/>
      <c r="M1" s="3"/>
    </row>
    <row r="2" spans="1:40" x14ac:dyDescent="0.2">
      <c r="A2" s="6" t="s">
        <v>75</v>
      </c>
      <c r="B2" s="6"/>
      <c r="C2" s="6"/>
      <c r="D2" s="6"/>
      <c r="E2" s="6"/>
      <c r="F2" s="6"/>
      <c r="G2" s="6"/>
      <c r="H2" s="6"/>
      <c r="I2" s="7"/>
      <c r="J2" s="7"/>
      <c r="K2" s="7"/>
      <c r="L2" s="7"/>
      <c r="M2" s="7"/>
    </row>
    <row r="3" spans="1:40" s="3" customFormat="1" x14ac:dyDescent="0.2">
      <c r="A3" s="2"/>
      <c r="B3" s="23">
        <v>44681</v>
      </c>
      <c r="C3" s="23">
        <v>44316</v>
      </c>
      <c r="D3" s="23">
        <v>43951</v>
      </c>
      <c r="E3" s="23">
        <v>43585</v>
      </c>
      <c r="F3" s="23">
        <v>43220</v>
      </c>
      <c r="G3" s="23">
        <v>42855</v>
      </c>
      <c r="H3" s="23">
        <v>42490</v>
      </c>
      <c r="I3" s="23">
        <v>42124</v>
      </c>
      <c r="J3" s="23">
        <v>41759</v>
      </c>
      <c r="K3" s="23">
        <v>41394</v>
      </c>
      <c r="L3" s="23">
        <v>41029</v>
      </c>
      <c r="M3" s="23">
        <v>40663</v>
      </c>
      <c r="N3" s="24">
        <v>40298</v>
      </c>
      <c r="O3" s="23">
        <v>39933</v>
      </c>
      <c r="P3" s="23">
        <v>39568</v>
      </c>
      <c r="Q3" s="23">
        <v>39202</v>
      </c>
      <c r="R3" s="23">
        <v>38837</v>
      </c>
      <c r="S3" s="23">
        <v>38472</v>
      </c>
      <c r="T3" s="23">
        <v>38107</v>
      </c>
      <c r="U3" s="23">
        <v>37741</v>
      </c>
      <c r="V3" s="23">
        <v>37376</v>
      </c>
      <c r="W3" s="23">
        <v>37011</v>
      </c>
      <c r="X3" s="23">
        <v>36646</v>
      </c>
      <c r="Y3" s="23">
        <v>36280</v>
      </c>
      <c r="Z3" s="23">
        <v>35915</v>
      </c>
      <c r="AA3" s="24">
        <v>35550</v>
      </c>
      <c r="AB3" s="8"/>
      <c r="AC3" s="8"/>
      <c r="AD3" s="8"/>
      <c r="AE3" s="8"/>
      <c r="AF3" s="8"/>
      <c r="AG3" s="8"/>
      <c r="AH3" s="8"/>
      <c r="AI3" s="8"/>
      <c r="AJ3" s="8"/>
      <c r="AK3" s="8"/>
      <c r="AL3" s="8"/>
      <c r="AM3" s="8"/>
      <c r="AN3" s="8"/>
    </row>
    <row r="4" spans="1:40" x14ac:dyDescent="0.2">
      <c r="A4" s="3" t="s">
        <v>0</v>
      </c>
      <c r="B4" s="3"/>
      <c r="C4" s="3"/>
      <c r="D4" s="3"/>
      <c r="E4" s="3"/>
      <c r="F4" s="3"/>
      <c r="G4" s="3"/>
      <c r="H4" s="3"/>
      <c r="I4" s="3"/>
      <c r="J4" s="3"/>
      <c r="K4" s="3"/>
      <c r="L4" s="3"/>
      <c r="M4" s="3"/>
      <c r="N4" s="9"/>
    </row>
    <row r="5" spans="1:40" x14ac:dyDescent="0.2">
      <c r="A5" s="3" t="s">
        <v>1</v>
      </c>
      <c r="B5" s="3"/>
      <c r="C5" s="3"/>
      <c r="D5" s="3"/>
      <c r="E5" s="3"/>
      <c r="F5" s="3"/>
      <c r="G5" s="3"/>
      <c r="H5" s="3"/>
      <c r="I5" s="3"/>
      <c r="J5" s="3"/>
      <c r="K5" s="3"/>
      <c r="L5" s="3"/>
      <c r="M5" s="3"/>
      <c r="N5" s="9"/>
    </row>
    <row r="6" spans="1:40" x14ac:dyDescent="0.2">
      <c r="A6" s="5" t="s">
        <v>2</v>
      </c>
      <c r="B6" s="9">
        <v>6078000</v>
      </c>
      <c r="C6" s="9">
        <v>7326000</v>
      </c>
      <c r="D6" s="9">
        <v>6458000</v>
      </c>
      <c r="E6" s="9">
        <v>4873000</v>
      </c>
      <c r="F6" s="9">
        <v>4294000</v>
      </c>
      <c r="G6" s="9">
        <v>6456000</v>
      </c>
      <c r="H6" s="9">
        <v>5918000</v>
      </c>
      <c r="I6" s="9">
        <v>5691000</v>
      </c>
      <c r="J6" s="9">
        <v>5872000</v>
      </c>
      <c r="K6" s="9">
        <v>4859000</v>
      </c>
      <c r="L6" s="9">
        <v>5773000</v>
      </c>
      <c r="M6" s="9">
        <v>5254000</v>
      </c>
      <c r="N6" s="9">
        <v>3641000</v>
      </c>
      <c r="O6" s="4">
        <v>4671000</v>
      </c>
      <c r="P6" s="4">
        <v>4072000</v>
      </c>
      <c r="Q6" s="4">
        <v>4611000</v>
      </c>
      <c r="R6" s="4">
        <v>5495000</v>
      </c>
      <c r="S6" s="4">
        <v>5451000</v>
      </c>
      <c r="T6" s="4">
        <v>4280000</v>
      </c>
      <c r="U6" s="4">
        <v>2699000</v>
      </c>
      <c r="V6" s="4">
        <v>1094000</v>
      </c>
      <c r="W6" s="4">
        <v>2502000</v>
      </c>
      <c r="X6" s="4">
        <v>958000</v>
      </c>
      <c r="Y6" s="4">
        <v>1160000</v>
      </c>
      <c r="Z6" s="4">
        <v>903000</v>
      </c>
      <c r="AA6" s="4">
        <v>653000</v>
      </c>
    </row>
    <row r="7" spans="1:40" x14ac:dyDescent="0.2">
      <c r="A7" s="5" t="s">
        <v>20</v>
      </c>
      <c r="B7" s="9">
        <v>30979000</v>
      </c>
      <c r="C7" s="9">
        <v>33337000</v>
      </c>
      <c r="D7" s="9">
        <v>25322000</v>
      </c>
      <c r="E7" s="9">
        <v>27291000</v>
      </c>
      <c r="F7" s="9">
        <v>26346000</v>
      </c>
      <c r="G7" s="9">
        <v>26382000</v>
      </c>
      <c r="H7" s="9">
        <v>24530000</v>
      </c>
      <c r="I7" s="9">
        <v>25266000</v>
      </c>
      <c r="J7" s="9">
        <v>23904000</v>
      </c>
      <c r="K7" s="9">
        <v>22208000</v>
      </c>
      <c r="L7" s="9">
        <v>20280000</v>
      </c>
      <c r="M7" s="9">
        <v>19512000</v>
      </c>
      <c r="N7" s="9">
        <v>19607000</v>
      </c>
      <c r="O7" s="4">
        <v>15691000</v>
      </c>
      <c r="P7" s="4">
        <v>17533000</v>
      </c>
      <c r="Q7" s="4">
        <v>16738000</v>
      </c>
      <c r="R7" s="4">
        <v>13811000</v>
      </c>
      <c r="S7" s="4">
        <v>11750000</v>
      </c>
      <c r="T7" s="4">
        <v>10766000</v>
      </c>
      <c r="U7" s="4">
        <v>9681000</v>
      </c>
      <c r="V7" s="4">
        <v>8689000</v>
      </c>
      <c r="W7" s="4">
        <v>6217000</v>
      </c>
      <c r="X7" s="4">
        <v>6639000</v>
      </c>
      <c r="Y7" s="4">
        <v>5464000</v>
      </c>
      <c r="Z7" s="4">
        <v>4463000</v>
      </c>
      <c r="AA7" s="4">
        <v>3430000</v>
      </c>
    </row>
    <row r="8" spans="1:40" x14ac:dyDescent="0.2">
      <c r="A8" s="5" t="s">
        <v>21</v>
      </c>
      <c r="B8" s="9">
        <v>4114000</v>
      </c>
      <c r="C8" s="9">
        <v>3812000</v>
      </c>
      <c r="D8" s="9">
        <v>2964000</v>
      </c>
      <c r="E8" s="9">
        <v>2696000</v>
      </c>
      <c r="F8" s="9">
        <v>2545000</v>
      </c>
      <c r="G8" s="9">
        <v>1848000</v>
      </c>
      <c r="H8" s="9">
        <v>1912000</v>
      </c>
      <c r="I8" s="9">
        <v>2007000</v>
      </c>
      <c r="J8" s="9">
        <v>2034000</v>
      </c>
      <c r="K8" s="9">
        <v>1915000</v>
      </c>
      <c r="L8" s="9">
        <v>1669000</v>
      </c>
      <c r="M8" s="9">
        <v>1574000</v>
      </c>
      <c r="N8" s="9">
        <v>1295000</v>
      </c>
      <c r="O8" s="4">
        <v>1273000</v>
      </c>
      <c r="P8" s="4">
        <v>1510000</v>
      </c>
      <c r="Q8" s="4">
        <v>1928000</v>
      </c>
      <c r="R8" s="4">
        <v>2138000</v>
      </c>
      <c r="S8" s="4">
        <v>2243000</v>
      </c>
      <c r="T8" s="4">
        <v>1740000</v>
      </c>
      <c r="U8" s="4">
        <v>1556000</v>
      </c>
      <c r="V8" s="4">
        <v>1890000</v>
      </c>
      <c r="W8" s="4">
        <v>2074000</v>
      </c>
      <c r="X8" s="4">
        <f>1922000+126000</f>
        <v>2048000</v>
      </c>
      <c r="Y8" s="4">
        <v>2075000</v>
      </c>
      <c r="Z8" s="4">
        <v>1770000</v>
      </c>
      <c r="AA8" s="4">
        <v>1275000</v>
      </c>
    </row>
    <row r="9" spans="1:40" x14ac:dyDescent="0.2">
      <c r="A9" s="5" t="s">
        <v>15</v>
      </c>
      <c r="B9" s="9">
        <v>0</v>
      </c>
      <c r="C9" s="9">
        <v>0</v>
      </c>
      <c r="D9" s="9">
        <v>0</v>
      </c>
      <c r="E9" s="9">
        <v>0</v>
      </c>
      <c r="F9" s="9">
        <v>0</v>
      </c>
      <c r="G9" s="9">
        <v>0</v>
      </c>
      <c r="H9" s="9">
        <v>0</v>
      </c>
      <c r="I9" s="9">
        <v>1000</v>
      </c>
      <c r="J9" s="9">
        <v>0</v>
      </c>
      <c r="K9" s="9">
        <v>5000</v>
      </c>
      <c r="L9" s="9">
        <v>4000</v>
      </c>
      <c r="M9" s="9">
        <v>6000</v>
      </c>
      <c r="N9" s="9">
        <v>11000</v>
      </c>
      <c r="O9" s="4">
        <v>3000</v>
      </c>
      <c r="P9" s="4">
        <v>3000</v>
      </c>
      <c r="Q9" s="4">
        <v>0</v>
      </c>
      <c r="R9" s="4">
        <v>0</v>
      </c>
      <c r="S9" s="4">
        <v>0</v>
      </c>
      <c r="T9" s="4">
        <v>0</v>
      </c>
      <c r="U9" s="4">
        <v>0</v>
      </c>
      <c r="V9" s="4">
        <v>0</v>
      </c>
      <c r="W9" s="4">
        <v>0</v>
      </c>
      <c r="X9" s="4">
        <v>0</v>
      </c>
      <c r="Y9" s="4">
        <v>0</v>
      </c>
      <c r="Z9" s="4">
        <v>0</v>
      </c>
      <c r="AA9" s="4">
        <v>0</v>
      </c>
    </row>
    <row r="10" spans="1:40" x14ac:dyDescent="0.2">
      <c r="A10" s="5" t="s">
        <v>22</v>
      </c>
      <c r="B10" s="9">
        <v>0</v>
      </c>
      <c r="C10" s="9">
        <v>0</v>
      </c>
      <c r="D10" s="9">
        <v>56000</v>
      </c>
      <c r="E10" s="9">
        <v>259000</v>
      </c>
      <c r="F10" s="9">
        <v>747000</v>
      </c>
      <c r="G10" s="9">
        <v>253000</v>
      </c>
      <c r="H10" s="9">
        <v>199000</v>
      </c>
      <c r="I10" s="9">
        <v>534000</v>
      </c>
      <c r="J10" s="9">
        <v>0</v>
      </c>
      <c r="K10" s="9">
        <v>347000</v>
      </c>
      <c r="L10" s="9">
        <v>0</v>
      </c>
      <c r="M10" s="9">
        <v>0</v>
      </c>
      <c r="N10" s="9">
        <v>216000</v>
      </c>
      <c r="O10" s="4">
        <v>137000</v>
      </c>
      <c r="P10" s="4">
        <v>471000</v>
      </c>
      <c r="Q10" s="4">
        <v>137000</v>
      </c>
      <c r="R10" s="4">
        <v>270000</v>
      </c>
      <c r="S10" s="4">
        <v>0</v>
      </c>
      <c r="T10" s="4">
        <v>129000</v>
      </c>
      <c r="U10" s="4">
        <v>70000</v>
      </c>
      <c r="V10" s="4">
        <v>135000</v>
      </c>
      <c r="W10" s="4">
        <v>44000</v>
      </c>
      <c r="X10" s="4">
        <v>47000</v>
      </c>
      <c r="Y10" s="4">
        <v>111000</v>
      </c>
      <c r="Z10" s="4">
        <v>0</v>
      </c>
      <c r="AA10" s="4">
        <v>77000</v>
      </c>
    </row>
    <row r="11" spans="1:40" x14ac:dyDescent="0.2">
      <c r="A11" s="5" t="s">
        <v>10</v>
      </c>
      <c r="B11" s="9">
        <v>7940000</v>
      </c>
      <c r="C11" s="9">
        <v>5622000</v>
      </c>
      <c r="D11" s="9">
        <v>5103000</v>
      </c>
      <c r="E11" s="9">
        <v>4583000</v>
      </c>
      <c r="F11" s="9">
        <v>3267000</v>
      </c>
      <c r="G11" s="9">
        <v>2304000</v>
      </c>
      <c r="H11" s="9">
        <v>2964000</v>
      </c>
      <c r="I11" s="9">
        <v>2275000</v>
      </c>
      <c r="J11" s="9">
        <v>2233000</v>
      </c>
      <c r="K11" s="9">
        <v>2074000</v>
      </c>
      <c r="L11" s="9">
        <v>2351000</v>
      </c>
      <c r="M11" s="9">
        <v>1854000</v>
      </c>
      <c r="N11" s="9">
        <v>1968000</v>
      </c>
      <c r="O11" s="4">
        <v>2741000</v>
      </c>
      <c r="P11" s="4">
        <v>3100000</v>
      </c>
      <c r="Q11" s="4">
        <v>3060000</v>
      </c>
      <c r="R11" s="4">
        <v>2270000</v>
      </c>
      <c r="S11" s="4">
        <v>2054000</v>
      </c>
      <c r="T11" s="4">
        <v>2379000</v>
      </c>
      <c r="U11" s="4">
        <v>2430000</v>
      </c>
      <c r="V11" s="4">
        <v>2428000</v>
      </c>
      <c r="W11" s="4">
        <v>2759000</v>
      </c>
      <c r="X11" s="4">
        <v>2600000</v>
      </c>
      <c r="Y11" s="4">
        <v>2194000</v>
      </c>
      <c r="Z11" s="4">
        <v>1656000</v>
      </c>
      <c r="AA11" s="4">
        <v>1678000</v>
      </c>
    </row>
    <row r="12" spans="1:40" x14ac:dyDescent="0.2">
      <c r="A12" s="5" t="s">
        <v>23</v>
      </c>
      <c r="B12" s="9">
        <v>1362000</v>
      </c>
      <c r="C12" s="9">
        <v>405000</v>
      </c>
      <c r="D12" s="9">
        <v>516000</v>
      </c>
      <c r="E12" s="9">
        <v>282000</v>
      </c>
      <c r="F12" s="9">
        <v>603000</v>
      </c>
      <c r="G12" s="9">
        <v>193000</v>
      </c>
      <c r="H12" s="9">
        <v>68000</v>
      </c>
      <c r="I12" s="9">
        <v>108000</v>
      </c>
      <c r="J12" s="9">
        <v>132000</v>
      </c>
      <c r="K12" s="9">
        <v>60000</v>
      </c>
      <c r="L12" s="9">
        <v>141000</v>
      </c>
      <c r="M12" s="9">
        <v>151000</v>
      </c>
      <c r="N12" s="9">
        <v>142000</v>
      </c>
      <c r="O12" s="4">
        <v>81000</v>
      </c>
      <c r="P12" s="4">
        <v>103000</v>
      </c>
      <c r="Q12" s="4">
        <v>125000</v>
      </c>
      <c r="R12" s="4">
        <v>117000</v>
      </c>
      <c r="S12" s="4">
        <v>57000</v>
      </c>
      <c r="T12" s="4">
        <v>65000</v>
      </c>
      <c r="U12" s="4">
        <v>140000</v>
      </c>
      <c r="V12" s="4">
        <v>86000</v>
      </c>
      <c r="W12" s="4">
        <v>49000</v>
      </c>
      <c r="X12" s="4">
        <v>52000</v>
      </c>
      <c r="Y12" s="4">
        <v>63000</v>
      </c>
      <c r="Z12" s="4">
        <v>44000</v>
      </c>
      <c r="AA12" s="4">
        <v>67000</v>
      </c>
    </row>
    <row r="13" spans="1:40" x14ac:dyDescent="0.2">
      <c r="A13" s="5" t="s">
        <v>24</v>
      </c>
      <c r="B13" s="9">
        <v>0</v>
      </c>
      <c r="C13" s="9">
        <v>0</v>
      </c>
      <c r="D13" s="9">
        <v>0</v>
      </c>
      <c r="E13" s="9">
        <v>0</v>
      </c>
      <c r="F13" s="9">
        <v>0</v>
      </c>
      <c r="G13" s="9">
        <v>0</v>
      </c>
      <c r="H13" s="9">
        <v>0</v>
      </c>
      <c r="I13" s="9">
        <v>0</v>
      </c>
      <c r="J13" s="9">
        <v>0</v>
      </c>
      <c r="K13" s="9">
        <v>0</v>
      </c>
      <c r="L13" s="9">
        <v>119000</v>
      </c>
      <c r="M13" s="9">
        <v>166000</v>
      </c>
      <c r="N13" s="9">
        <v>266000</v>
      </c>
      <c r="O13" s="4">
        <v>1127000</v>
      </c>
      <c r="P13" s="4">
        <v>250000</v>
      </c>
      <c r="Q13" s="4">
        <v>115000</v>
      </c>
      <c r="R13" s="4">
        <v>312000</v>
      </c>
      <c r="S13" s="4">
        <v>164000</v>
      </c>
      <c r="T13" s="4">
        <v>94000</v>
      </c>
      <c r="U13" s="4">
        <v>113000</v>
      </c>
      <c r="V13" s="4">
        <v>52000</v>
      </c>
      <c r="W13" s="4">
        <v>52000</v>
      </c>
      <c r="X13" s="4">
        <v>69000</v>
      </c>
      <c r="Y13" s="4">
        <v>31000</v>
      </c>
      <c r="Z13" s="4">
        <v>31000</v>
      </c>
      <c r="AA13" s="4">
        <v>94000</v>
      </c>
    </row>
    <row r="14" spans="1:40" x14ac:dyDescent="0.2">
      <c r="A14" s="5" t="s">
        <v>31</v>
      </c>
      <c r="B14" s="9">
        <v>16000</v>
      </c>
      <c r="C14" s="9">
        <v>16000</v>
      </c>
      <c r="D14" s="9">
        <v>18000</v>
      </c>
      <c r="E14" s="9">
        <v>6000</v>
      </c>
      <c r="F14" s="9">
        <v>2000</v>
      </c>
      <c r="G14" s="9">
        <v>3000</v>
      </c>
      <c r="H14" s="9">
        <v>0</v>
      </c>
      <c r="I14" s="9">
        <v>3000</v>
      </c>
      <c r="J14" s="9">
        <v>3000</v>
      </c>
      <c r="K14" s="9">
        <v>1000</v>
      </c>
      <c r="L14" s="9">
        <v>1000</v>
      </c>
      <c r="M14" s="9">
        <v>0</v>
      </c>
      <c r="N14" s="9">
        <v>0</v>
      </c>
      <c r="O14" s="4">
        <v>0</v>
      </c>
      <c r="P14" s="4">
        <v>0</v>
      </c>
      <c r="Q14" s="4">
        <v>0</v>
      </c>
      <c r="R14" s="4">
        <v>0</v>
      </c>
      <c r="S14" s="4">
        <v>0</v>
      </c>
      <c r="T14" s="4">
        <v>0</v>
      </c>
      <c r="U14" s="4">
        <v>0</v>
      </c>
      <c r="V14" s="4">
        <v>4000</v>
      </c>
      <c r="W14" s="4">
        <v>0</v>
      </c>
      <c r="X14" s="4">
        <v>0</v>
      </c>
      <c r="Y14" s="4">
        <v>13000</v>
      </c>
      <c r="Z14" s="4">
        <v>16000</v>
      </c>
      <c r="AA14" s="4">
        <v>67000</v>
      </c>
    </row>
    <row r="15" spans="1:40" x14ac:dyDescent="0.2">
      <c r="A15" s="3" t="s">
        <v>3</v>
      </c>
      <c r="B15" s="10">
        <f t="shared" ref="B15:AA15" si="0">SUM(B6:B14)</f>
        <v>50489000</v>
      </c>
      <c r="C15" s="10">
        <f t="shared" si="0"/>
        <v>50518000</v>
      </c>
      <c r="D15" s="10">
        <f t="shared" si="0"/>
        <v>40437000</v>
      </c>
      <c r="E15" s="10">
        <f t="shared" si="0"/>
        <v>39990000</v>
      </c>
      <c r="F15" s="10">
        <f t="shared" si="0"/>
        <v>37804000</v>
      </c>
      <c r="G15" s="10">
        <f t="shared" si="0"/>
        <v>37439000</v>
      </c>
      <c r="H15" s="10">
        <f t="shared" si="0"/>
        <v>35591000</v>
      </c>
      <c r="I15" s="10">
        <f t="shared" si="0"/>
        <v>35885000</v>
      </c>
      <c r="J15" s="10">
        <f t="shared" si="0"/>
        <v>34178000</v>
      </c>
      <c r="K15" s="10">
        <f t="shared" si="0"/>
        <v>31469000</v>
      </c>
      <c r="L15" s="10">
        <f t="shared" si="0"/>
        <v>30338000</v>
      </c>
      <c r="M15" s="10">
        <f t="shared" si="0"/>
        <v>28517000</v>
      </c>
      <c r="N15" s="10">
        <f t="shared" si="0"/>
        <v>27146000</v>
      </c>
      <c r="O15" s="10">
        <f t="shared" si="0"/>
        <v>25724000</v>
      </c>
      <c r="P15" s="10">
        <f t="shared" si="0"/>
        <v>27042000</v>
      </c>
      <c r="Q15" s="10">
        <f t="shared" si="0"/>
        <v>26714000</v>
      </c>
      <c r="R15" s="10">
        <f t="shared" si="0"/>
        <v>24413000</v>
      </c>
      <c r="S15" s="10">
        <f t="shared" si="0"/>
        <v>21719000</v>
      </c>
      <c r="T15" s="10">
        <f t="shared" si="0"/>
        <v>19453000</v>
      </c>
      <c r="U15" s="10">
        <f t="shared" si="0"/>
        <v>16689000</v>
      </c>
      <c r="V15" s="10">
        <f t="shared" si="0"/>
        <v>14378000</v>
      </c>
      <c r="W15" s="10">
        <f t="shared" si="0"/>
        <v>13697000</v>
      </c>
      <c r="X15" s="10">
        <f t="shared" si="0"/>
        <v>12413000</v>
      </c>
      <c r="Y15" s="10">
        <f t="shared" si="0"/>
        <v>11111000</v>
      </c>
      <c r="Z15" s="10">
        <f t="shared" si="0"/>
        <v>8883000</v>
      </c>
      <c r="AA15" s="10">
        <f t="shared" si="0"/>
        <v>7341000</v>
      </c>
    </row>
    <row r="16" spans="1:40" x14ac:dyDescent="0.2">
      <c r="A16" s="3" t="s">
        <v>11</v>
      </c>
      <c r="B16" s="9"/>
      <c r="C16" s="9"/>
      <c r="D16" s="9"/>
      <c r="E16" s="9"/>
      <c r="F16" s="9"/>
      <c r="G16" s="9"/>
      <c r="H16" s="9"/>
      <c r="I16" s="9"/>
      <c r="J16" s="9"/>
      <c r="K16" s="9"/>
      <c r="L16" s="9"/>
      <c r="M16" s="9"/>
      <c r="N16" s="9"/>
      <c r="O16" s="4"/>
      <c r="P16" s="4"/>
      <c r="Q16" s="4"/>
      <c r="R16" s="4"/>
      <c r="S16" s="4"/>
      <c r="T16" s="4"/>
      <c r="U16" s="4"/>
      <c r="V16" s="4"/>
      <c r="W16" s="4"/>
      <c r="X16" s="4"/>
      <c r="Y16" s="4"/>
      <c r="Z16" s="4"/>
    </row>
    <row r="17" spans="1:27" x14ac:dyDescent="0.2">
      <c r="A17" s="5" t="s">
        <v>25</v>
      </c>
      <c r="B17" s="9">
        <v>1782000</v>
      </c>
      <c r="C17" s="9">
        <v>1704000</v>
      </c>
      <c r="D17" s="9">
        <v>1465000</v>
      </c>
      <c r="E17" s="9">
        <v>984000</v>
      </c>
      <c r="F17" s="9">
        <v>1076000</v>
      </c>
      <c r="G17" s="9">
        <v>739000</v>
      </c>
      <c r="H17" s="9">
        <v>756000</v>
      </c>
      <c r="I17" s="9">
        <v>661000</v>
      </c>
      <c r="J17" s="9">
        <v>625000</v>
      </c>
      <c r="K17" s="9">
        <v>701000</v>
      </c>
      <c r="L17" s="9">
        <v>771000</v>
      </c>
      <c r="M17" s="9">
        <v>639000</v>
      </c>
      <c r="N17" s="9">
        <v>733000</v>
      </c>
      <c r="O17" s="4">
        <v>802000</v>
      </c>
      <c r="P17" s="4">
        <v>831000</v>
      </c>
      <c r="Q17" s="4">
        <v>828000</v>
      </c>
      <c r="R17" s="4">
        <v>926000</v>
      </c>
      <c r="S17" s="4">
        <v>786000</v>
      </c>
      <c r="T17" s="4">
        <v>835000</v>
      </c>
      <c r="U17" s="4">
        <v>887000</v>
      </c>
      <c r="V17" s="4">
        <v>1065000</v>
      </c>
      <c r="W17" s="4">
        <v>1143000</v>
      </c>
      <c r="X17" s="4">
        <v>1261000</v>
      </c>
      <c r="Y17" s="4">
        <v>816000</v>
      </c>
      <c r="Z17" s="4">
        <v>665000</v>
      </c>
      <c r="AA17" s="4">
        <v>680000</v>
      </c>
    </row>
    <row r="18" spans="1:27" x14ac:dyDescent="0.2">
      <c r="A18" s="5" t="s">
        <v>38</v>
      </c>
      <c r="B18" s="9">
        <v>344000</v>
      </c>
      <c r="C18" s="9">
        <v>320000</v>
      </c>
      <c r="D18" s="9">
        <v>320000</v>
      </c>
      <c r="E18" s="9">
        <v>293000</v>
      </c>
      <c r="F18" s="9">
        <v>293000</v>
      </c>
      <c r="G18" s="9">
        <v>273000</v>
      </c>
      <c r="H18" s="9">
        <v>253000</v>
      </c>
      <c r="I18" s="9">
        <v>253000</v>
      </c>
      <c r="J18" s="9">
        <v>238000</v>
      </c>
      <c r="K18" s="9">
        <v>238000</v>
      </c>
      <c r="L18" s="9">
        <v>228000</v>
      </c>
      <c r="M18" s="9">
        <v>218000</v>
      </c>
      <c r="N18" s="9">
        <v>200000</v>
      </c>
      <c r="O18" s="4">
        <v>200000</v>
      </c>
      <c r="P18" s="4">
        <v>200000</v>
      </c>
      <c r="Q18" s="4">
        <v>200000</v>
      </c>
      <c r="R18" s="4">
        <v>200000</v>
      </c>
      <c r="S18" s="4">
        <v>200000</v>
      </c>
      <c r="T18" s="4">
        <v>200000</v>
      </c>
      <c r="U18" s="4">
        <v>200000</v>
      </c>
      <c r="V18" s="4">
        <v>0</v>
      </c>
      <c r="W18" s="4">
        <v>0</v>
      </c>
      <c r="X18" s="4">
        <v>0</v>
      </c>
      <c r="Y18" s="4">
        <v>0</v>
      </c>
      <c r="Z18" s="4">
        <v>0</v>
      </c>
      <c r="AA18" s="4">
        <v>0</v>
      </c>
    </row>
    <row r="19" spans="1:27" x14ac:dyDescent="0.2">
      <c r="A19" s="5" t="s">
        <v>26</v>
      </c>
      <c r="B19" s="9">
        <v>83000</v>
      </c>
      <c r="C19" s="9">
        <v>200000</v>
      </c>
      <c r="D19" s="9">
        <v>21000</v>
      </c>
      <c r="E19" s="9">
        <v>117000</v>
      </c>
      <c r="F19" s="9">
        <v>0</v>
      </c>
      <c r="G19" s="9">
        <v>13000</v>
      </c>
      <c r="H19" s="9">
        <v>68000</v>
      </c>
      <c r="I19" s="9">
        <v>56000</v>
      </c>
      <c r="J19" s="9">
        <v>41000</v>
      </c>
      <c r="K19" s="9">
        <v>45000</v>
      </c>
      <c r="L19" s="9">
        <v>44000</v>
      </c>
      <c r="M19" s="9">
        <v>213000</v>
      </c>
      <c r="N19" s="9">
        <v>112000</v>
      </c>
      <c r="O19" s="4">
        <v>68000</v>
      </c>
      <c r="P19" s="4">
        <v>68000</v>
      </c>
      <c r="Q19" s="4">
        <v>75000</v>
      </c>
      <c r="R19" s="4">
        <v>30000</v>
      </c>
      <c r="S19" s="4">
        <v>34000</v>
      </c>
      <c r="T19" s="4">
        <v>46000</v>
      </c>
      <c r="U19" s="4">
        <v>80000</v>
      </c>
      <c r="V19" s="4">
        <v>30000</v>
      </c>
      <c r="W19" s="4">
        <v>49000</v>
      </c>
      <c r="X19" s="4">
        <v>46000</v>
      </c>
      <c r="Y19" s="4">
        <v>53000</v>
      </c>
      <c r="Z19" s="4">
        <v>104000</v>
      </c>
      <c r="AA19" s="4">
        <v>41000</v>
      </c>
    </row>
    <row r="20" spans="1:27" x14ac:dyDescent="0.2">
      <c r="A20" s="5" t="s">
        <v>27</v>
      </c>
      <c r="B20" s="9">
        <v>0</v>
      </c>
      <c r="C20" s="9">
        <v>0</v>
      </c>
      <c r="D20" s="9">
        <v>0</v>
      </c>
      <c r="E20" s="9">
        <v>0</v>
      </c>
      <c r="F20" s="9">
        <v>0</v>
      </c>
      <c r="G20" s="9">
        <v>0</v>
      </c>
      <c r="H20" s="9">
        <v>0</v>
      </c>
      <c r="I20" s="9">
        <v>0</v>
      </c>
      <c r="J20" s="9">
        <v>0</v>
      </c>
      <c r="K20" s="9">
        <v>0</v>
      </c>
      <c r="L20" s="9">
        <v>0</v>
      </c>
      <c r="M20" s="9">
        <v>0</v>
      </c>
      <c r="N20" s="9">
        <v>0</v>
      </c>
      <c r="O20" s="4">
        <v>40000</v>
      </c>
      <c r="P20" s="4">
        <v>60000</v>
      </c>
      <c r="Q20" s="4">
        <v>60000</v>
      </c>
      <c r="R20" s="4">
        <v>0</v>
      </c>
      <c r="S20" s="4">
        <v>0</v>
      </c>
      <c r="T20" s="4">
        <v>0</v>
      </c>
      <c r="U20" s="4">
        <v>0</v>
      </c>
      <c r="V20" s="4">
        <v>0</v>
      </c>
      <c r="W20" s="4">
        <v>0</v>
      </c>
      <c r="X20" s="4"/>
      <c r="Y20" s="4">
        <v>0</v>
      </c>
      <c r="Z20" s="4">
        <v>0</v>
      </c>
      <c r="AA20" s="4">
        <v>0</v>
      </c>
    </row>
    <row r="21" spans="1:27" x14ac:dyDescent="0.2">
      <c r="A21" s="5" t="s">
        <v>28</v>
      </c>
      <c r="B21" s="9">
        <v>0</v>
      </c>
      <c r="C21" s="9">
        <v>0</v>
      </c>
      <c r="D21" s="9">
        <v>0</v>
      </c>
      <c r="E21" s="9">
        <v>0</v>
      </c>
      <c r="F21" s="9">
        <v>0</v>
      </c>
      <c r="G21" s="9">
        <v>0</v>
      </c>
      <c r="H21" s="9">
        <v>0</v>
      </c>
      <c r="I21" s="9">
        <v>0</v>
      </c>
      <c r="J21" s="9">
        <v>0</v>
      </c>
      <c r="K21" s="9">
        <v>2000</v>
      </c>
      <c r="L21" s="9">
        <v>5000</v>
      </c>
      <c r="M21" s="9">
        <v>1000</v>
      </c>
      <c r="N21" s="9">
        <v>7000</v>
      </c>
      <c r="O21" s="4">
        <v>9000</v>
      </c>
      <c r="P21" s="4">
        <v>12000</v>
      </c>
      <c r="Q21" s="4">
        <v>0</v>
      </c>
      <c r="R21" s="4">
        <v>0</v>
      </c>
      <c r="S21" s="4">
        <v>0</v>
      </c>
      <c r="T21" s="4">
        <v>0</v>
      </c>
      <c r="U21" s="4">
        <v>0</v>
      </c>
      <c r="V21" s="4">
        <v>0</v>
      </c>
      <c r="W21" s="4">
        <v>0</v>
      </c>
      <c r="X21" s="4"/>
      <c r="Y21" s="4">
        <v>0</v>
      </c>
      <c r="Z21" s="4">
        <v>0</v>
      </c>
      <c r="AA21" s="4">
        <v>0</v>
      </c>
    </row>
    <row r="22" spans="1:27" x14ac:dyDescent="0.2">
      <c r="A22" s="5" t="s">
        <v>80</v>
      </c>
      <c r="B22" s="9">
        <v>1271000</v>
      </c>
      <c r="C22" s="9">
        <v>1394000</v>
      </c>
      <c r="D22" s="9">
        <v>1517000</v>
      </c>
      <c r="E22" s="9">
        <v>1640000</v>
      </c>
      <c r="F22" s="9">
        <v>1763000</v>
      </c>
      <c r="G22" s="9">
        <v>0</v>
      </c>
      <c r="H22" s="9">
        <v>0</v>
      </c>
      <c r="I22" s="9">
        <v>0</v>
      </c>
      <c r="J22" s="9">
        <v>0</v>
      </c>
      <c r="K22" s="9">
        <v>0</v>
      </c>
      <c r="L22" s="9">
        <v>0</v>
      </c>
      <c r="M22" s="9">
        <v>0</v>
      </c>
      <c r="N22" s="9">
        <v>0</v>
      </c>
      <c r="O22" s="4">
        <v>0</v>
      </c>
      <c r="P22" s="4">
        <v>0</v>
      </c>
      <c r="Q22" s="4">
        <v>0</v>
      </c>
      <c r="R22" s="4">
        <v>0</v>
      </c>
      <c r="S22" s="4">
        <v>0</v>
      </c>
      <c r="T22" s="4">
        <v>0</v>
      </c>
      <c r="U22" s="4">
        <v>0</v>
      </c>
      <c r="V22" s="4">
        <v>0</v>
      </c>
      <c r="W22" s="4">
        <v>0</v>
      </c>
      <c r="X22" s="4">
        <v>0</v>
      </c>
      <c r="Y22" s="4">
        <v>0</v>
      </c>
      <c r="Z22" s="4">
        <v>0</v>
      </c>
      <c r="AA22" s="4">
        <v>0</v>
      </c>
    </row>
    <row r="23" spans="1:27" x14ac:dyDescent="0.2">
      <c r="A23" s="5" t="s">
        <v>31</v>
      </c>
      <c r="B23" s="9">
        <v>62000</v>
      </c>
      <c r="C23" s="9">
        <v>0</v>
      </c>
      <c r="D23" s="9">
        <v>2000</v>
      </c>
      <c r="E23" s="9">
        <v>3000</v>
      </c>
      <c r="F23" s="9">
        <v>6000</v>
      </c>
      <c r="G23" s="9">
        <v>0</v>
      </c>
      <c r="H23" s="9">
        <v>0</v>
      </c>
      <c r="I23" s="9">
        <v>1000</v>
      </c>
      <c r="J23" s="9">
        <v>1000</v>
      </c>
      <c r="K23" s="9">
        <v>1000</v>
      </c>
      <c r="L23" s="9">
        <v>1000</v>
      </c>
      <c r="M23" s="9">
        <v>0</v>
      </c>
      <c r="N23" s="9">
        <v>0</v>
      </c>
      <c r="O23" s="4">
        <v>0</v>
      </c>
      <c r="P23" s="4">
        <v>1000</v>
      </c>
      <c r="Q23" s="4">
        <v>18000</v>
      </c>
      <c r="R23" s="4">
        <v>1000</v>
      </c>
      <c r="S23" s="4">
        <v>12000</v>
      </c>
      <c r="T23" s="4">
        <v>0</v>
      </c>
      <c r="U23" s="4">
        <v>0</v>
      </c>
      <c r="V23" s="4">
        <v>0</v>
      </c>
      <c r="W23" s="4">
        <v>5000</v>
      </c>
      <c r="X23" s="4">
        <v>20000</v>
      </c>
      <c r="Y23" s="4">
        <f>12000+20000+38000</f>
        <v>70000</v>
      </c>
      <c r="Z23" s="4">
        <f>52000+35000+56000</f>
        <v>143000</v>
      </c>
      <c r="AA23" s="4">
        <v>2000</v>
      </c>
    </row>
    <row r="24" spans="1:27" x14ac:dyDescent="0.2">
      <c r="A24" s="3" t="s">
        <v>12</v>
      </c>
      <c r="B24" s="10">
        <f t="shared" ref="B24" si="1">SUM(B17:B23)</f>
        <v>3542000</v>
      </c>
      <c r="C24" s="10">
        <f t="shared" ref="C24" si="2">SUM(C17:C23)</f>
        <v>3618000</v>
      </c>
      <c r="D24" s="10">
        <f t="shared" ref="D24" si="3">SUM(D17:D23)</f>
        <v>3325000</v>
      </c>
      <c r="E24" s="10">
        <f t="shared" ref="E24" si="4">SUM(E17:E23)</f>
        <v>3037000</v>
      </c>
      <c r="F24" s="10">
        <f t="shared" ref="F24" si="5">SUM(F17:F23)</f>
        <v>3138000</v>
      </c>
      <c r="G24" s="10">
        <f t="shared" ref="G24" si="6">SUM(G17:G23)</f>
        <v>1025000</v>
      </c>
      <c r="H24" s="10">
        <f t="shared" ref="H24" si="7">SUM(H17:H23)</f>
        <v>1077000</v>
      </c>
      <c r="I24" s="10">
        <f t="shared" ref="I24" si="8">SUM(I17:I23)</f>
        <v>971000</v>
      </c>
      <c r="J24" s="10">
        <f t="shared" ref="J24" si="9">SUM(J17:J23)</f>
        <v>905000</v>
      </c>
      <c r="K24" s="10">
        <f t="shared" ref="K24" si="10">SUM(K17:K23)</f>
        <v>987000</v>
      </c>
      <c r="L24" s="10">
        <f t="shared" ref="L24:N24" si="11">SUM(L17:L23)</f>
        <v>1049000</v>
      </c>
      <c r="M24" s="10">
        <f t="shared" si="11"/>
        <v>1071000</v>
      </c>
      <c r="N24" s="10">
        <f t="shared" si="11"/>
        <v>1052000</v>
      </c>
      <c r="O24" s="11">
        <f t="shared" ref="O24:Y24" si="12">SUM(O17:O23)</f>
        <v>1119000</v>
      </c>
      <c r="P24" s="11">
        <f t="shared" si="12"/>
        <v>1172000</v>
      </c>
      <c r="Q24" s="11">
        <f t="shared" si="12"/>
        <v>1181000</v>
      </c>
      <c r="R24" s="11">
        <f t="shared" si="12"/>
        <v>1157000</v>
      </c>
      <c r="S24" s="11">
        <f t="shared" si="12"/>
        <v>1032000</v>
      </c>
      <c r="T24" s="11">
        <f t="shared" si="12"/>
        <v>1081000</v>
      </c>
      <c r="U24" s="11">
        <f t="shared" si="12"/>
        <v>1167000</v>
      </c>
      <c r="V24" s="11">
        <f t="shared" si="12"/>
        <v>1095000</v>
      </c>
      <c r="W24" s="11">
        <f t="shared" si="12"/>
        <v>1197000</v>
      </c>
      <c r="X24" s="11">
        <f t="shared" si="12"/>
        <v>1327000</v>
      </c>
      <c r="Y24" s="11">
        <f t="shared" si="12"/>
        <v>939000</v>
      </c>
      <c r="Z24" s="11">
        <f t="shared" ref="Z24:AA24" si="13">SUM(Z17:Z23)</f>
        <v>912000</v>
      </c>
      <c r="AA24" s="11">
        <f t="shared" si="13"/>
        <v>723000</v>
      </c>
    </row>
    <row r="25" spans="1:27" ht="17" thickBot="1" x14ac:dyDescent="0.25">
      <c r="A25" s="3" t="s">
        <v>4</v>
      </c>
      <c r="B25" s="12">
        <f t="shared" ref="B25" si="14">B15+B24</f>
        <v>54031000</v>
      </c>
      <c r="C25" s="12">
        <f t="shared" ref="C25" si="15">C15+C24</f>
        <v>54136000</v>
      </c>
      <c r="D25" s="12">
        <f t="shared" ref="D25" si="16">D15+D24</f>
        <v>43762000</v>
      </c>
      <c r="E25" s="12">
        <f t="shared" ref="E25" si="17">E15+E24</f>
        <v>43027000</v>
      </c>
      <c r="F25" s="12">
        <f t="shared" ref="F25" si="18">F15+F24</f>
        <v>40942000</v>
      </c>
      <c r="G25" s="12">
        <f t="shared" ref="G25" si="19">G15+G24</f>
        <v>38464000</v>
      </c>
      <c r="H25" s="12">
        <f t="shared" ref="H25" si="20">H15+H24</f>
        <v>36668000</v>
      </c>
      <c r="I25" s="12">
        <f t="shared" ref="I25" si="21">I15+I24</f>
        <v>36856000</v>
      </c>
      <c r="J25" s="12">
        <f t="shared" ref="J25" si="22">J15+J24</f>
        <v>35083000</v>
      </c>
      <c r="K25" s="12">
        <f t="shared" ref="K25" si="23">K15+K24</f>
        <v>32456000</v>
      </c>
      <c r="L25" s="12">
        <f t="shared" ref="L25:AA25" si="24">L15+L24</f>
        <v>31387000</v>
      </c>
      <c r="M25" s="12">
        <f t="shared" si="24"/>
        <v>29588000</v>
      </c>
      <c r="N25" s="12">
        <f t="shared" si="24"/>
        <v>28198000</v>
      </c>
      <c r="O25" s="13">
        <f t="shared" si="24"/>
        <v>26843000</v>
      </c>
      <c r="P25" s="13">
        <f t="shared" si="24"/>
        <v>28214000</v>
      </c>
      <c r="Q25" s="13">
        <f t="shared" si="24"/>
        <v>27895000</v>
      </c>
      <c r="R25" s="13">
        <f t="shared" si="24"/>
        <v>25570000</v>
      </c>
      <c r="S25" s="13">
        <f t="shared" si="24"/>
        <v>22751000</v>
      </c>
      <c r="T25" s="13">
        <f t="shared" si="24"/>
        <v>20534000</v>
      </c>
      <c r="U25" s="13">
        <f t="shared" si="24"/>
        <v>17856000</v>
      </c>
      <c r="V25" s="13">
        <f t="shared" si="24"/>
        <v>15473000</v>
      </c>
      <c r="W25" s="13">
        <f t="shared" si="24"/>
        <v>14894000</v>
      </c>
      <c r="X25" s="13">
        <f t="shared" si="24"/>
        <v>13740000</v>
      </c>
      <c r="Y25" s="13">
        <f t="shared" si="24"/>
        <v>12050000</v>
      </c>
      <c r="Z25" s="13">
        <f t="shared" si="24"/>
        <v>9795000</v>
      </c>
      <c r="AA25" s="13">
        <f t="shared" si="24"/>
        <v>8064000</v>
      </c>
    </row>
    <row r="26" spans="1:27" ht="17" thickTop="1" x14ac:dyDescent="0.2">
      <c r="A26" s="3" t="s">
        <v>5</v>
      </c>
      <c r="B26" s="9"/>
      <c r="C26" s="9"/>
      <c r="D26" s="9"/>
      <c r="E26" s="9"/>
      <c r="F26" s="9"/>
      <c r="G26" s="9"/>
      <c r="H26" s="9"/>
      <c r="I26" s="9"/>
      <c r="J26" s="9"/>
      <c r="K26" s="9"/>
      <c r="L26" s="9"/>
      <c r="M26" s="9"/>
      <c r="N26" s="9"/>
      <c r="O26" s="4"/>
      <c r="P26" s="4"/>
      <c r="Q26" s="4"/>
      <c r="R26" s="4"/>
      <c r="S26" s="4"/>
      <c r="T26" s="4"/>
      <c r="U26" s="4"/>
      <c r="V26" s="4"/>
      <c r="W26" s="4"/>
      <c r="X26" s="4"/>
      <c r="Y26" s="4"/>
      <c r="Z26" s="4"/>
    </row>
    <row r="27" spans="1:27" x14ac:dyDescent="0.2">
      <c r="A27" s="3" t="s">
        <v>6</v>
      </c>
      <c r="B27" s="9"/>
      <c r="C27" s="9"/>
      <c r="D27" s="9"/>
      <c r="E27" s="9"/>
      <c r="F27" s="9"/>
      <c r="G27" s="9"/>
      <c r="H27" s="9"/>
      <c r="I27" s="9"/>
      <c r="J27" s="9"/>
      <c r="K27" s="9"/>
      <c r="L27" s="9"/>
      <c r="M27" s="9"/>
      <c r="N27" s="9"/>
      <c r="O27" s="4"/>
      <c r="P27" s="4"/>
      <c r="Q27" s="4"/>
      <c r="R27" s="4"/>
      <c r="S27" s="4"/>
      <c r="T27" s="4"/>
      <c r="U27" s="4"/>
      <c r="V27" s="4"/>
      <c r="W27" s="4"/>
      <c r="X27" s="4"/>
      <c r="Y27" s="4"/>
      <c r="Z27" s="4"/>
    </row>
    <row r="28" spans="1:27" x14ac:dyDescent="0.2">
      <c r="A28" s="3" t="s">
        <v>76</v>
      </c>
      <c r="B28" s="9">
        <v>320000</v>
      </c>
      <c r="C28" s="9">
        <v>477000</v>
      </c>
      <c r="D28" s="9">
        <v>187000</v>
      </c>
      <c r="E28" s="9">
        <v>206000</v>
      </c>
      <c r="F28" s="9">
        <v>336000</v>
      </c>
      <c r="G28" s="9">
        <v>69000</v>
      </c>
      <c r="H28" s="9">
        <v>31000</v>
      </c>
      <c r="I28" s="9">
        <v>110000</v>
      </c>
      <c r="J28" s="9">
        <v>109000</v>
      </c>
      <c r="K28" s="9">
        <v>68000</v>
      </c>
      <c r="L28" s="9">
        <v>96000</v>
      </c>
      <c r="M28" s="9">
        <v>128000</v>
      </c>
      <c r="N28" s="9">
        <v>57000</v>
      </c>
      <c r="O28" s="4">
        <v>35000</v>
      </c>
      <c r="P28" s="4">
        <v>67000</v>
      </c>
      <c r="Q28" s="4">
        <v>127000</v>
      </c>
      <c r="R28" s="4">
        <v>141000</v>
      </c>
      <c r="S28" s="4">
        <v>138000</v>
      </c>
      <c r="T28" s="4">
        <v>92000</v>
      </c>
      <c r="U28" s="4">
        <v>129000</v>
      </c>
      <c r="V28" s="4">
        <v>103000</v>
      </c>
      <c r="W28" s="4">
        <v>179000</v>
      </c>
      <c r="X28" s="4">
        <v>41000</v>
      </c>
      <c r="Y28" s="4">
        <v>46000</v>
      </c>
      <c r="Z28" s="4">
        <v>196000</v>
      </c>
      <c r="AA28" s="4">
        <v>196000</v>
      </c>
    </row>
    <row r="29" spans="1:27" x14ac:dyDescent="0.2">
      <c r="A29" s="5" t="s">
        <v>34</v>
      </c>
      <c r="B29" s="9">
        <v>0</v>
      </c>
      <c r="C29" s="9">
        <v>0</v>
      </c>
      <c r="D29" s="9">
        <v>950000</v>
      </c>
      <c r="E29" s="9">
        <v>0</v>
      </c>
      <c r="F29" s="9">
        <v>0</v>
      </c>
      <c r="G29" s="9">
        <v>0</v>
      </c>
      <c r="H29" s="9">
        <v>0</v>
      </c>
      <c r="I29" s="9">
        <v>0</v>
      </c>
      <c r="J29" s="9">
        <v>0</v>
      </c>
      <c r="K29" s="9">
        <v>0</v>
      </c>
      <c r="L29" s="9">
        <v>0</v>
      </c>
      <c r="M29" s="9">
        <v>0</v>
      </c>
      <c r="N29" s="9">
        <v>0</v>
      </c>
      <c r="O29" s="4">
        <v>0</v>
      </c>
      <c r="P29" s="4">
        <v>0</v>
      </c>
      <c r="Q29" s="4">
        <v>0</v>
      </c>
      <c r="R29" s="4">
        <v>33000</v>
      </c>
      <c r="S29" s="4">
        <v>0</v>
      </c>
      <c r="T29" s="4">
        <v>0</v>
      </c>
      <c r="U29" s="4">
        <v>160000</v>
      </c>
      <c r="V29" s="4">
        <v>84000</v>
      </c>
      <c r="W29" s="4">
        <v>12000</v>
      </c>
      <c r="X29" s="4">
        <v>31000</v>
      </c>
      <c r="Y29" s="4">
        <v>57000</v>
      </c>
      <c r="Z29" s="4">
        <v>51000</v>
      </c>
      <c r="AA29" s="4">
        <v>46000</v>
      </c>
    </row>
    <row r="30" spans="1:27" x14ac:dyDescent="0.2">
      <c r="A30" s="5" t="s">
        <v>29</v>
      </c>
      <c r="B30" s="9">
        <v>2296000</v>
      </c>
      <c r="C30" s="9">
        <v>2080000</v>
      </c>
      <c r="D30" s="9">
        <v>1892000</v>
      </c>
      <c r="E30" s="9">
        <v>1714000</v>
      </c>
      <c r="F30" s="9">
        <v>1580000</v>
      </c>
      <c r="G30" s="9">
        <v>1416000</v>
      </c>
      <c r="H30" s="9">
        <v>1255000</v>
      </c>
      <c r="I30" s="9">
        <v>1099000</v>
      </c>
      <c r="J30" s="9">
        <v>953000</v>
      </c>
      <c r="K30" s="9">
        <v>817000</v>
      </c>
      <c r="L30" s="9">
        <v>589000</v>
      </c>
      <c r="M30" s="9">
        <v>483000</v>
      </c>
      <c r="N30" s="9">
        <v>395000</v>
      </c>
      <c r="O30" s="4">
        <v>317000</v>
      </c>
      <c r="P30" s="4">
        <v>239000</v>
      </c>
      <c r="Q30" s="4">
        <v>161000</v>
      </c>
      <c r="R30" s="4">
        <v>91000</v>
      </c>
      <c r="S30" s="4">
        <v>50000</v>
      </c>
      <c r="T30" s="4">
        <v>0</v>
      </c>
      <c r="U30" s="4">
        <v>0</v>
      </c>
      <c r="V30" s="4">
        <v>0</v>
      </c>
      <c r="W30" s="4">
        <v>0</v>
      </c>
      <c r="X30" s="4">
        <v>0</v>
      </c>
      <c r="Y30" s="4">
        <v>0</v>
      </c>
      <c r="Z30" s="4">
        <v>0</v>
      </c>
      <c r="AA30" s="4">
        <v>0</v>
      </c>
    </row>
    <row r="31" spans="1:27" x14ac:dyDescent="0.2">
      <c r="A31" s="5" t="s">
        <v>35</v>
      </c>
      <c r="B31" s="9">
        <v>277000</v>
      </c>
      <c r="C31" s="9">
        <v>81000</v>
      </c>
      <c r="D31" s="9">
        <v>0</v>
      </c>
      <c r="E31" s="9">
        <v>0</v>
      </c>
      <c r="F31" s="9">
        <v>0</v>
      </c>
      <c r="G31" s="9">
        <v>0</v>
      </c>
      <c r="H31" s="9">
        <v>0</v>
      </c>
      <c r="I31" s="9">
        <v>0</v>
      </c>
      <c r="J31" s="9">
        <v>75000</v>
      </c>
      <c r="K31" s="9">
        <v>0</v>
      </c>
      <c r="L31" s="9">
        <v>246000</v>
      </c>
      <c r="M31" s="9">
        <v>36000</v>
      </c>
      <c r="N31" s="9">
        <v>0</v>
      </c>
      <c r="O31" s="4">
        <v>0</v>
      </c>
      <c r="P31" s="4">
        <v>0</v>
      </c>
      <c r="Q31" s="4">
        <v>0</v>
      </c>
      <c r="R31" s="4">
        <v>0</v>
      </c>
      <c r="S31" s="4">
        <v>101000</v>
      </c>
      <c r="T31" s="4">
        <v>0</v>
      </c>
      <c r="U31" s="4">
        <v>0</v>
      </c>
      <c r="V31" s="4">
        <v>0</v>
      </c>
      <c r="W31" s="4">
        <v>47000</v>
      </c>
      <c r="X31" s="4">
        <v>0</v>
      </c>
      <c r="Y31" s="4">
        <v>146000</v>
      </c>
      <c r="Z31" s="4">
        <v>79000</v>
      </c>
      <c r="AA31" s="4">
        <v>47000</v>
      </c>
    </row>
    <row r="32" spans="1:27" x14ac:dyDescent="0.2">
      <c r="A32" s="5" t="s">
        <v>30</v>
      </c>
      <c r="B32" s="9">
        <v>0</v>
      </c>
      <c r="C32" s="9">
        <v>0</v>
      </c>
      <c r="D32" s="9">
        <v>0</v>
      </c>
      <c r="E32" s="9">
        <v>0</v>
      </c>
      <c r="F32" s="9">
        <v>0</v>
      </c>
      <c r="G32" s="9">
        <v>0</v>
      </c>
      <c r="H32" s="9">
        <v>87000</v>
      </c>
      <c r="I32" s="9">
        <v>857000</v>
      </c>
      <c r="J32" s="9">
        <v>769000</v>
      </c>
      <c r="K32" s="9">
        <v>432000</v>
      </c>
      <c r="L32" s="9">
        <v>0</v>
      </c>
      <c r="M32" s="9">
        <v>0</v>
      </c>
      <c r="N32" s="9">
        <v>0</v>
      </c>
      <c r="O32" s="9">
        <v>0</v>
      </c>
      <c r="P32" s="9">
        <v>0</v>
      </c>
      <c r="Q32" s="9">
        <v>0</v>
      </c>
      <c r="R32" s="9">
        <v>0</v>
      </c>
      <c r="S32" s="9">
        <v>0</v>
      </c>
      <c r="T32" s="9">
        <v>0</v>
      </c>
      <c r="U32" s="9">
        <v>0</v>
      </c>
      <c r="V32" s="9">
        <v>0</v>
      </c>
      <c r="W32" s="9">
        <v>0</v>
      </c>
      <c r="X32" s="9">
        <v>0</v>
      </c>
      <c r="Y32" s="9">
        <v>0</v>
      </c>
      <c r="Z32" s="9">
        <v>0</v>
      </c>
      <c r="AA32" s="9">
        <v>0</v>
      </c>
    </row>
    <row r="33" spans="1:27" x14ac:dyDescent="0.2">
      <c r="A33" s="5" t="s">
        <v>79</v>
      </c>
      <c r="B33" s="9">
        <v>0</v>
      </c>
      <c r="C33" s="9">
        <v>0</v>
      </c>
      <c r="D33" s="9">
        <v>0</v>
      </c>
      <c r="E33" s="9">
        <v>0</v>
      </c>
      <c r="F33" s="9">
        <v>12000</v>
      </c>
      <c r="G33" s="9"/>
      <c r="H33" s="9">
        <v>0</v>
      </c>
      <c r="I33" s="9">
        <v>0</v>
      </c>
      <c r="J33" s="9">
        <v>0</v>
      </c>
      <c r="K33" s="9">
        <v>0</v>
      </c>
      <c r="L33" s="9">
        <v>0</v>
      </c>
      <c r="M33" s="9">
        <v>0</v>
      </c>
      <c r="N33" s="9">
        <v>0</v>
      </c>
      <c r="O33" s="9">
        <v>0</v>
      </c>
      <c r="P33" s="9">
        <v>0</v>
      </c>
      <c r="Q33" s="9">
        <v>0</v>
      </c>
      <c r="R33" s="9">
        <v>0</v>
      </c>
      <c r="S33" s="9">
        <v>0</v>
      </c>
      <c r="T33" s="9">
        <v>0</v>
      </c>
      <c r="U33" s="9">
        <v>0</v>
      </c>
      <c r="V33" s="9">
        <v>0</v>
      </c>
      <c r="W33" s="9">
        <v>0</v>
      </c>
      <c r="X33" s="9">
        <v>21000</v>
      </c>
      <c r="Y33" s="9">
        <v>0</v>
      </c>
      <c r="Z33" s="9"/>
      <c r="AA33" s="9"/>
    </row>
    <row r="34" spans="1:27" x14ac:dyDescent="0.2">
      <c r="A34" s="3" t="s">
        <v>77</v>
      </c>
      <c r="B34" s="9">
        <v>354000</v>
      </c>
      <c r="C34" s="9">
        <v>359000</v>
      </c>
      <c r="D34" s="9">
        <v>450000</v>
      </c>
      <c r="E34" s="9">
        <v>356000</v>
      </c>
      <c r="F34" s="9">
        <v>329000</v>
      </c>
      <c r="G34" s="9">
        <v>308000</v>
      </c>
      <c r="H34" s="9">
        <v>320000</v>
      </c>
      <c r="I34" s="9">
        <v>306000</v>
      </c>
      <c r="J34" s="9">
        <v>278000</v>
      </c>
      <c r="K34" s="9">
        <v>259000</v>
      </c>
      <c r="L34" s="9">
        <v>212000</v>
      </c>
      <c r="M34" s="9">
        <v>212000</v>
      </c>
      <c r="N34" s="9">
        <v>198000</v>
      </c>
      <c r="O34" s="4">
        <v>306000</v>
      </c>
      <c r="P34" s="4">
        <v>321000</v>
      </c>
      <c r="Q34" s="4">
        <v>337000</v>
      </c>
      <c r="R34" s="4">
        <v>366000</v>
      </c>
      <c r="S34" s="4">
        <v>347000</v>
      </c>
      <c r="T34" s="4">
        <v>317000</v>
      </c>
      <c r="U34" s="4">
        <v>289000</v>
      </c>
      <c r="V34" s="4">
        <v>246000</v>
      </c>
      <c r="W34" s="4">
        <f>258000+11000</f>
        <v>269000</v>
      </c>
      <c r="X34" s="4">
        <v>299000</v>
      </c>
      <c r="Y34" s="4">
        <f>302000+14000</f>
        <v>316000</v>
      </c>
      <c r="Z34" s="4">
        <f>281000+12000</f>
        <v>293000</v>
      </c>
      <c r="AA34" s="4">
        <f>111000+139000+71000</f>
        <v>321000</v>
      </c>
    </row>
    <row r="35" spans="1:27" x14ac:dyDescent="0.2">
      <c r="A35" s="3" t="s">
        <v>7</v>
      </c>
      <c r="B35" s="10">
        <f t="shared" ref="B35" si="25">SUM(B28:B34)</f>
        <v>3247000</v>
      </c>
      <c r="C35" s="10">
        <f t="shared" ref="C35" si="26">SUM(C28:C34)</f>
        <v>2997000</v>
      </c>
      <c r="D35" s="10">
        <f t="shared" ref="D35" si="27">SUM(D28:D34)</f>
        <v>3479000</v>
      </c>
      <c r="E35" s="10">
        <f>SUM(E28:E34)</f>
        <v>2276000</v>
      </c>
      <c r="F35" s="10">
        <f t="shared" ref="F35" si="28">SUM(F28:F34)</f>
        <v>2257000</v>
      </c>
      <c r="G35" s="10">
        <f t="shared" ref="G35" si="29">SUM(G28:G34)</f>
        <v>1793000</v>
      </c>
      <c r="H35" s="10">
        <f t="shared" ref="H35" si="30">SUM(H28:H34)</f>
        <v>1693000</v>
      </c>
      <c r="I35" s="10">
        <f t="shared" ref="I35" si="31">SUM(I28:I34)</f>
        <v>2372000</v>
      </c>
      <c r="J35" s="10">
        <f t="shared" ref="J35" si="32">SUM(J28:J34)</f>
        <v>2184000</v>
      </c>
      <c r="K35" s="10">
        <f t="shared" ref="K35" si="33">SUM(K28:K34)</f>
        <v>1576000</v>
      </c>
      <c r="L35" s="10">
        <f>SUM(L28:L34)</f>
        <v>1143000</v>
      </c>
      <c r="M35" s="10">
        <f>SUM(M28:M34)</f>
        <v>859000</v>
      </c>
      <c r="N35" s="10">
        <f>SUM(N28:N34)</f>
        <v>650000</v>
      </c>
      <c r="O35" s="11">
        <f t="shared" ref="O35:AA35" si="34">SUM(O28:O34)</f>
        <v>658000</v>
      </c>
      <c r="P35" s="11">
        <f t="shared" si="34"/>
        <v>627000</v>
      </c>
      <c r="Q35" s="11">
        <f t="shared" si="34"/>
        <v>625000</v>
      </c>
      <c r="R35" s="11">
        <f t="shared" si="34"/>
        <v>631000</v>
      </c>
      <c r="S35" s="11">
        <f t="shared" si="34"/>
        <v>636000</v>
      </c>
      <c r="T35" s="11">
        <f t="shared" si="34"/>
        <v>409000</v>
      </c>
      <c r="U35" s="11">
        <f t="shared" si="34"/>
        <v>578000</v>
      </c>
      <c r="V35" s="11">
        <f t="shared" si="34"/>
        <v>433000</v>
      </c>
      <c r="W35" s="11">
        <f t="shared" si="34"/>
        <v>507000</v>
      </c>
      <c r="X35" s="11">
        <f t="shared" si="34"/>
        <v>392000</v>
      </c>
      <c r="Y35" s="11">
        <f t="shared" si="34"/>
        <v>565000</v>
      </c>
      <c r="Z35" s="11">
        <f t="shared" si="34"/>
        <v>619000</v>
      </c>
      <c r="AA35" s="11">
        <f t="shared" si="34"/>
        <v>610000</v>
      </c>
    </row>
    <row r="36" spans="1:27" x14ac:dyDescent="0.2">
      <c r="A36" s="3" t="s">
        <v>13</v>
      </c>
      <c r="B36" s="9"/>
      <c r="C36" s="9"/>
      <c r="D36" s="9"/>
      <c r="E36" s="9"/>
      <c r="F36" s="9"/>
      <c r="G36" s="9"/>
      <c r="H36" s="9"/>
      <c r="I36" s="9"/>
      <c r="J36" s="9"/>
      <c r="K36" s="9"/>
      <c r="L36" s="9"/>
      <c r="M36" s="9"/>
      <c r="N36" s="9"/>
      <c r="O36" s="4"/>
      <c r="P36" s="4"/>
      <c r="Q36" s="4"/>
      <c r="R36" s="4"/>
      <c r="S36" s="4"/>
      <c r="T36" s="4"/>
      <c r="U36" s="4"/>
      <c r="V36" s="4"/>
      <c r="W36" s="4"/>
      <c r="X36" s="4"/>
      <c r="Y36" s="4"/>
      <c r="Z36" s="4"/>
    </row>
    <row r="37" spans="1:27" x14ac:dyDescent="0.2">
      <c r="A37" s="5" t="s">
        <v>32</v>
      </c>
      <c r="B37" s="9">
        <v>0</v>
      </c>
      <c r="C37" s="9">
        <v>0</v>
      </c>
      <c r="D37" s="9">
        <v>0</v>
      </c>
      <c r="E37" s="9">
        <v>0</v>
      </c>
      <c r="F37" s="9">
        <v>0</v>
      </c>
      <c r="G37" s="9">
        <v>0</v>
      </c>
      <c r="H37" s="9">
        <v>0</v>
      </c>
      <c r="I37" s="9">
        <v>0</v>
      </c>
      <c r="J37" s="9">
        <v>0</v>
      </c>
      <c r="K37" s="9">
        <v>0</v>
      </c>
      <c r="L37" s="9">
        <v>0</v>
      </c>
      <c r="M37" s="9">
        <v>0</v>
      </c>
      <c r="N37" s="9">
        <v>5000</v>
      </c>
      <c r="O37" s="4">
        <v>0</v>
      </c>
      <c r="P37" s="4">
        <v>0</v>
      </c>
      <c r="Q37" s="4">
        <v>25000</v>
      </c>
      <c r="R37" s="4">
        <v>0</v>
      </c>
      <c r="S37" s="4">
        <v>0</v>
      </c>
      <c r="T37" s="4">
        <v>0</v>
      </c>
      <c r="U37" s="4">
        <v>0</v>
      </c>
      <c r="V37" s="4">
        <v>0</v>
      </c>
      <c r="W37" s="4">
        <v>0</v>
      </c>
      <c r="X37" s="4">
        <v>0</v>
      </c>
      <c r="Y37" s="4">
        <v>0</v>
      </c>
      <c r="Z37" s="4"/>
    </row>
    <row r="38" spans="1:27" x14ac:dyDescent="0.2">
      <c r="A38" s="5" t="s">
        <v>67</v>
      </c>
      <c r="B38" s="9">
        <v>0</v>
      </c>
      <c r="C38" s="9">
        <v>0</v>
      </c>
      <c r="D38" s="9"/>
      <c r="E38" s="9">
        <v>0</v>
      </c>
      <c r="F38" s="9">
        <v>0</v>
      </c>
      <c r="G38" s="9">
        <v>0</v>
      </c>
      <c r="H38" s="9">
        <v>0</v>
      </c>
      <c r="I38" s="9">
        <v>0</v>
      </c>
      <c r="J38" s="9">
        <v>0</v>
      </c>
      <c r="K38" s="9">
        <v>0</v>
      </c>
      <c r="L38" s="9">
        <v>5000</v>
      </c>
      <c r="M38" s="9">
        <v>5000</v>
      </c>
      <c r="N38" s="9"/>
      <c r="O38" s="4"/>
      <c r="P38" s="4"/>
      <c r="Q38" s="4"/>
      <c r="R38" s="4"/>
      <c r="S38" s="4"/>
      <c r="T38" s="4"/>
      <c r="U38" s="4"/>
      <c r="V38" s="4"/>
      <c r="W38" s="4"/>
      <c r="X38" s="4"/>
      <c r="Y38" s="4"/>
      <c r="Z38" s="4"/>
    </row>
    <row r="39" spans="1:27" x14ac:dyDescent="0.2">
      <c r="A39" s="5" t="s">
        <v>36</v>
      </c>
      <c r="B39" s="9">
        <v>0</v>
      </c>
      <c r="C39" s="9">
        <v>0</v>
      </c>
      <c r="D39" s="9">
        <v>0</v>
      </c>
      <c r="E39" s="9">
        <v>0</v>
      </c>
      <c r="F39" s="9">
        <v>0</v>
      </c>
      <c r="G39" s="9">
        <v>0</v>
      </c>
      <c r="H39" s="9">
        <v>0</v>
      </c>
      <c r="I39" s="9">
        <v>0</v>
      </c>
      <c r="J39" s="9">
        <v>0</v>
      </c>
      <c r="K39" s="9">
        <v>0</v>
      </c>
      <c r="L39" s="9">
        <v>0</v>
      </c>
      <c r="M39" s="9">
        <v>0</v>
      </c>
      <c r="N39" s="9">
        <v>0</v>
      </c>
      <c r="O39" s="4">
        <v>0</v>
      </c>
      <c r="P39" s="4">
        <v>0</v>
      </c>
      <c r="Q39" s="4">
        <v>0</v>
      </c>
      <c r="R39" s="4">
        <v>0</v>
      </c>
      <c r="S39" s="4">
        <v>0</v>
      </c>
      <c r="T39" s="4">
        <v>0</v>
      </c>
      <c r="U39" s="4">
        <v>75000</v>
      </c>
      <c r="V39" s="4">
        <v>155000</v>
      </c>
      <c r="W39" s="4">
        <v>80000</v>
      </c>
      <c r="X39" s="4">
        <v>92000</v>
      </c>
      <c r="Y39" s="4">
        <v>99000</v>
      </c>
      <c r="Z39" s="4">
        <v>157000</v>
      </c>
      <c r="AA39" s="4">
        <v>208000</v>
      </c>
    </row>
    <row r="40" spans="1:27" x14ac:dyDescent="0.2">
      <c r="A40" s="5" t="s">
        <v>30</v>
      </c>
      <c r="B40" s="9">
        <v>1742000</v>
      </c>
      <c r="C40" s="9">
        <v>2735000</v>
      </c>
      <c r="D40" s="9">
        <v>699000</v>
      </c>
      <c r="E40" s="9">
        <v>1198000</v>
      </c>
      <c r="F40" s="9">
        <v>955000</v>
      </c>
      <c r="G40" s="9">
        <v>906000</v>
      </c>
      <c r="H40" s="9">
        <v>191000</v>
      </c>
      <c r="I40" s="9">
        <v>115000</v>
      </c>
      <c r="J40" s="9">
        <v>100000</v>
      </c>
      <c r="K40" s="9">
        <v>133000</v>
      </c>
      <c r="L40" s="9">
        <v>124000</v>
      </c>
      <c r="M40" s="9">
        <v>53000</v>
      </c>
      <c r="N40" s="9">
        <v>75000</v>
      </c>
      <c r="O40" s="4">
        <v>86000</v>
      </c>
      <c r="P40" s="4">
        <v>79000</v>
      </c>
      <c r="Q40" s="4">
        <v>74000</v>
      </c>
      <c r="R40" s="4">
        <v>73000</v>
      </c>
      <c r="S40" s="4">
        <v>61000</v>
      </c>
      <c r="T40" s="4">
        <v>27000</v>
      </c>
      <c r="U40" s="4">
        <v>0</v>
      </c>
      <c r="V40" s="4">
        <v>0</v>
      </c>
      <c r="W40" s="4">
        <v>0</v>
      </c>
      <c r="X40" s="4">
        <v>26000</v>
      </c>
      <c r="Y40" s="4">
        <v>28000</v>
      </c>
      <c r="Z40" s="4">
        <v>33000</v>
      </c>
      <c r="AA40" s="4">
        <v>34000</v>
      </c>
    </row>
    <row r="41" spans="1:27" x14ac:dyDescent="0.2">
      <c r="A41" s="5" t="s">
        <v>78</v>
      </c>
      <c r="B41" s="10">
        <f t="shared" ref="B41" si="35">SUM(B37:B40)</f>
        <v>1742000</v>
      </c>
      <c r="C41" s="10">
        <f t="shared" ref="C41" si="36">SUM(C37:C40)</f>
        <v>2735000</v>
      </c>
      <c r="D41" s="10">
        <f t="shared" ref="D41" si="37">SUM(D37:D40)</f>
        <v>699000</v>
      </c>
      <c r="E41" s="10">
        <f t="shared" ref="E41" si="38">SUM(E37:E40)</f>
        <v>1198000</v>
      </c>
      <c r="F41" s="10">
        <f t="shared" ref="F41" si="39">SUM(F37:F40)</f>
        <v>955000</v>
      </c>
      <c r="G41" s="10">
        <f t="shared" ref="G41" si="40">SUM(G37:G40)</f>
        <v>906000</v>
      </c>
      <c r="H41" s="10">
        <f t="shared" ref="H41" si="41">SUM(H37:H40)</f>
        <v>191000</v>
      </c>
      <c r="I41" s="10">
        <f t="shared" ref="I41" si="42">SUM(I37:I40)</f>
        <v>115000</v>
      </c>
      <c r="J41" s="10">
        <f t="shared" ref="J41" si="43">SUM(J37:J40)</f>
        <v>100000</v>
      </c>
      <c r="K41" s="10">
        <f t="shared" ref="K41" si="44">SUM(K37:K40)</f>
        <v>133000</v>
      </c>
      <c r="L41" s="10">
        <f t="shared" ref="L41:N41" si="45">SUM(L37:L40)</f>
        <v>129000</v>
      </c>
      <c r="M41" s="10">
        <f t="shared" si="45"/>
        <v>58000</v>
      </c>
      <c r="N41" s="10">
        <f t="shared" si="45"/>
        <v>80000</v>
      </c>
      <c r="O41" s="11">
        <f t="shared" ref="O41:P41" si="46">SUM(O37:O40)</f>
        <v>86000</v>
      </c>
      <c r="P41" s="11">
        <f t="shared" si="46"/>
        <v>79000</v>
      </c>
      <c r="Q41" s="11">
        <f>SUM(Q37:Q40)</f>
        <v>99000</v>
      </c>
      <c r="R41" s="11">
        <f t="shared" ref="R41:AA41" si="47">SUM(R37:R40)</f>
        <v>73000</v>
      </c>
      <c r="S41" s="11">
        <f t="shared" si="47"/>
        <v>61000</v>
      </c>
      <c r="T41" s="11">
        <f t="shared" si="47"/>
        <v>27000</v>
      </c>
      <c r="U41" s="11">
        <f t="shared" si="47"/>
        <v>75000</v>
      </c>
      <c r="V41" s="11">
        <f t="shared" si="47"/>
        <v>155000</v>
      </c>
      <c r="W41" s="11">
        <f t="shared" si="47"/>
        <v>80000</v>
      </c>
      <c r="X41" s="11">
        <f t="shared" si="47"/>
        <v>118000</v>
      </c>
      <c r="Y41" s="11">
        <f t="shared" si="47"/>
        <v>127000</v>
      </c>
      <c r="Z41" s="11">
        <f t="shared" si="47"/>
        <v>190000</v>
      </c>
      <c r="AA41" s="11">
        <f t="shared" si="47"/>
        <v>242000</v>
      </c>
    </row>
    <row r="42" spans="1:27" x14ac:dyDescent="0.2">
      <c r="A42" s="3" t="s">
        <v>68</v>
      </c>
      <c r="B42" s="9"/>
      <c r="C42" s="9"/>
      <c r="D42" s="9"/>
      <c r="E42" s="9"/>
      <c r="F42" s="9"/>
      <c r="G42" s="9"/>
      <c r="H42" s="9"/>
      <c r="I42" s="9"/>
      <c r="J42" s="9"/>
      <c r="K42" s="9"/>
      <c r="L42" s="9"/>
      <c r="M42" s="9"/>
      <c r="N42" s="9"/>
      <c r="O42" s="4"/>
      <c r="P42" s="4"/>
      <c r="Q42" s="4"/>
      <c r="R42" s="4"/>
      <c r="S42" s="4"/>
      <c r="T42" s="4"/>
      <c r="U42" s="4"/>
      <c r="V42" s="4"/>
      <c r="W42" s="4"/>
      <c r="X42" s="4"/>
      <c r="Y42" s="4"/>
      <c r="Z42" s="4"/>
    </row>
    <row r="43" spans="1:27" x14ac:dyDescent="0.2">
      <c r="A43" s="5" t="s">
        <v>69</v>
      </c>
      <c r="B43" s="9">
        <v>99000</v>
      </c>
      <c r="C43" s="9">
        <v>99000</v>
      </c>
      <c r="D43" s="9">
        <v>99000</v>
      </c>
      <c r="E43" s="9">
        <v>99000</v>
      </c>
      <c r="F43" s="9">
        <v>99000</v>
      </c>
      <c r="G43" s="9">
        <v>99000</v>
      </c>
      <c r="H43" s="9">
        <v>99000</v>
      </c>
      <c r="I43" s="9">
        <v>99000</v>
      </c>
      <c r="J43" s="9">
        <v>99000</v>
      </c>
      <c r="K43" s="9">
        <v>99000</v>
      </c>
      <c r="L43" s="9">
        <v>99000</v>
      </c>
      <c r="M43" s="9">
        <v>99000</v>
      </c>
      <c r="N43" s="9">
        <v>99000</v>
      </c>
      <c r="O43" s="4">
        <v>99000</v>
      </c>
      <c r="P43" s="4">
        <v>99000</v>
      </c>
      <c r="Q43" s="4">
        <v>99000</v>
      </c>
      <c r="R43" s="4">
        <v>99000</v>
      </c>
      <c r="S43" s="4">
        <v>99000</v>
      </c>
      <c r="T43" s="4">
        <v>107000</v>
      </c>
      <c r="U43" s="4">
        <v>107000</v>
      </c>
      <c r="V43" s="4">
        <v>107000</v>
      </c>
      <c r="W43" s="4">
        <v>107000</v>
      </c>
      <c r="X43" s="4">
        <v>107000</v>
      </c>
      <c r="Y43" s="4">
        <v>257000</v>
      </c>
      <c r="Z43" s="4">
        <v>257000</v>
      </c>
      <c r="AA43" s="4">
        <v>257000</v>
      </c>
    </row>
    <row r="44" spans="1:27" x14ac:dyDescent="0.2">
      <c r="A44" s="5" t="s">
        <v>70</v>
      </c>
      <c r="B44" s="9">
        <v>850000</v>
      </c>
      <c r="C44" s="9">
        <v>850000</v>
      </c>
      <c r="D44" s="9">
        <v>850000</v>
      </c>
      <c r="E44" s="9">
        <v>850000</v>
      </c>
      <c r="F44" s="9">
        <v>850000</v>
      </c>
      <c r="G44" s="9">
        <v>850000</v>
      </c>
      <c r="H44" s="9">
        <v>850000</v>
      </c>
      <c r="I44" s="9">
        <v>850000</v>
      </c>
      <c r="J44" s="9">
        <v>850000</v>
      </c>
      <c r="K44" s="9">
        <v>850000</v>
      </c>
      <c r="L44" s="9">
        <v>850000</v>
      </c>
      <c r="M44" s="9">
        <v>850000</v>
      </c>
      <c r="N44" s="9">
        <v>850000</v>
      </c>
      <c r="O44" s="4">
        <v>850000</v>
      </c>
      <c r="P44" s="4">
        <v>850000</v>
      </c>
      <c r="Q44" s="4">
        <v>850000</v>
      </c>
      <c r="R44" s="4">
        <v>850000</v>
      </c>
      <c r="S44" s="4">
        <v>850000</v>
      </c>
      <c r="T44" s="4">
        <v>850000</v>
      </c>
      <c r="U44" s="4">
        <v>850000</v>
      </c>
      <c r="V44" s="4">
        <v>850000</v>
      </c>
      <c r="W44" s="4">
        <v>850000</v>
      </c>
      <c r="X44" s="4">
        <v>850000</v>
      </c>
      <c r="Y44" s="4">
        <v>850000</v>
      </c>
      <c r="Z44" s="4">
        <v>850000</v>
      </c>
      <c r="AA44" s="4">
        <v>850000</v>
      </c>
    </row>
    <row r="45" spans="1:27" x14ac:dyDescent="0.2">
      <c r="A45" s="5" t="s">
        <v>71</v>
      </c>
      <c r="B45" s="9">
        <v>1934000</v>
      </c>
      <c r="C45" s="9">
        <v>1934000</v>
      </c>
      <c r="D45" s="9">
        <v>1934000</v>
      </c>
      <c r="E45" s="9">
        <v>1934000</v>
      </c>
      <c r="F45" s="9">
        <v>1934000</v>
      </c>
      <c r="G45" s="9">
        <v>1736000</v>
      </c>
      <c r="H45" s="9">
        <v>1736000</v>
      </c>
      <c r="I45" s="9">
        <v>1736000</v>
      </c>
      <c r="J45" s="9">
        <v>1736000</v>
      </c>
      <c r="K45" s="9">
        <v>1736000</v>
      </c>
      <c r="L45" s="9">
        <v>1736000</v>
      </c>
      <c r="M45" s="9">
        <v>1736000</v>
      </c>
      <c r="N45" s="9">
        <v>1736000</v>
      </c>
      <c r="O45" s="4">
        <v>1736000</v>
      </c>
      <c r="P45" s="4">
        <v>1736000</v>
      </c>
      <c r="Q45" s="4">
        <v>1736000</v>
      </c>
      <c r="R45" s="4">
        <v>1736000</v>
      </c>
      <c r="S45" s="4">
        <v>1736000</v>
      </c>
      <c r="T45" s="4">
        <v>1736000</v>
      </c>
      <c r="U45" s="4">
        <v>1736000</v>
      </c>
      <c r="V45" s="4">
        <v>1736000</v>
      </c>
      <c r="W45" s="4">
        <v>1719000</v>
      </c>
      <c r="X45" s="4">
        <v>1719000</v>
      </c>
      <c r="Y45" s="4">
        <v>1692000</v>
      </c>
      <c r="Z45" s="4">
        <v>1674000</v>
      </c>
      <c r="AA45" s="4">
        <v>1674000</v>
      </c>
    </row>
    <row r="46" spans="1:27" x14ac:dyDescent="0.2">
      <c r="A46" s="5" t="s">
        <v>72</v>
      </c>
      <c r="B46" s="9">
        <v>-137000</v>
      </c>
      <c r="C46" s="9">
        <v>108000</v>
      </c>
      <c r="D46" s="9">
        <v>-4000</v>
      </c>
      <c r="E46" s="9">
        <v>14000</v>
      </c>
      <c r="F46" s="9">
        <v>2249000</v>
      </c>
      <c r="G46" s="9">
        <v>1239000</v>
      </c>
      <c r="H46" s="9">
        <v>347000</v>
      </c>
      <c r="I46" s="9">
        <v>1282000</v>
      </c>
      <c r="J46" s="9">
        <v>1222000</v>
      </c>
      <c r="K46" s="9">
        <v>743000</v>
      </c>
      <c r="L46" s="9">
        <v>278000</v>
      </c>
      <c r="M46" s="9">
        <v>281000</v>
      </c>
      <c r="N46" s="9">
        <v>13000</v>
      </c>
      <c r="O46" s="4">
        <v>-940000</v>
      </c>
      <c r="P46" s="4">
        <v>-67000</v>
      </c>
      <c r="Q46" s="4">
        <v>165000</v>
      </c>
      <c r="R46" s="4">
        <v>-39000</v>
      </c>
      <c r="S46" s="4">
        <v>-881000</v>
      </c>
      <c r="T46" s="4">
        <v>-911000</v>
      </c>
      <c r="U46" s="4">
        <v>-1395000</v>
      </c>
      <c r="V46" s="4">
        <v>-1428000</v>
      </c>
      <c r="W46" s="4">
        <v>-851000</v>
      </c>
      <c r="X46" s="4">
        <v>291000</v>
      </c>
      <c r="Y46" s="4">
        <v>118000</v>
      </c>
      <c r="Z46" s="4">
        <v>-120000</v>
      </c>
      <c r="AA46" s="4">
        <v>-90000</v>
      </c>
    </row>
    <row r="47" spans="1:27" x14ac:dyDescent="0.2">
      <c r="A47" s="5" t="s">
        <v>73</v>
      </c>
      <c r="B47" s="9">
        <v>50843000</v>
      </c>
      <c r="C47" s="9">
        <v>49749000</v>
      </c>
      <c r="D47" s="9">
        <v>41006000</v>
      </c>
      <c r="E47" s="9">
        <v>40883000</v>
      </c>
      <c r="F47" s="9">
        <v>36746000</v>
      </c>
      <c r="G47" s="9">
        <v>35981000</v>
      </c>
      <c r="H47" s="9">
        <v>35337000</v>
      </c>
      <c r="I47" s="9">
        <v>33960000</v>
      </c>
      <c r="J47" s="9">
        <v>32417000</v>
      </c>
      <c r="K47" s="9">
        <v>30806000</v>
      </c>
      <c r="L47" s="9">
        <v>30603000</v>
      </c>
      <c r="M47" s="9">
        <v>29115000</v>
      </c>
      <c r="N47" s="9">
        <v>28102000</v>
      </c>
      <c r="O47" s="4">
        <v>27423000</v>
      </c>
      <c r="P47" s="4">
        <v>27788000</v>
      </c>
      <c r="Q47" s="4">
        <v>26430000</v>
      </c>
      <c r="R47" s="4">
        <v>24250000</v>
      </c>
      <c r="S47" s="4">
        <v>22054000</v>
      </c>
      <c r="T47" s="4">
        <v>20079000</v>
      </c>
      <c r="U47" s="4">
        <v>17668000</v>
      </c>
      <c r="V47" s="4">
        <v>15383000</v>
      </c>
      <c r="W47" s="4">
        <v>13527000</v>
      </c>
      <c r="X47" s="4">
        <v>11301000</v>
      </c>
      <c r="Y47" s="4">
        <v>9114000</v>
      </c>
      <c r="Z47" s="4">
        <v>6941000</v>
      </c>
      <c r="AA47" s="4">
        <v>5077000</v>
      </c>
    </row>
    <row r="48" spans="1:27" x14ac:dyDescent="0.2">
      <c r="A48" s="5" t="s">
        <v>74</v>
      </c>
      <c r="B48" s="9">
        <v>-4547000</v>
      </c>
      <c r="C48" s="9">
        <v>-4336000</v>
      </c>
      <c r="D48" s="9">
        <v>-4301000</v>
      </c>
      <c r="E48" s="9">
        <v>-4227000</v>
      </c>
      <c r="F48" s="9">
        <v>-4148000</v>
      </c>
      <c r="G48" s="9">
        <v>-4140000</v>
      </c>
      <c r="H48" s="9">
        <v>-3585000</v>
      </c>
      <c r="I48" s="9">
        <v>-3558000</v>
      </c>
      <c r="J48" s="9">
        <v>-3525000</v>
      </c>
      <c r="K48" s="9">
        <v>-3487000</v>
      </c>
      <c r="L48" s="9">
        <v>-3451000</v>
      </c>
      <c r="M48" s="9">
        <v>-3410000</v>
      </c>
      <c r="N48" s="9">
        <v>-3332000</v>
      </c>
      <c r="O48" s="4">
        <v>-3069000</v>
      </c>
      <c r="P48" s="4">
        <v>-2898000</v>
      </c>
      <c r="Q48" s="4">
        <v>-2109000</v>
      </c>
      <c r="R48" s="4">
        <v>-2030000</v>
      </c>
      <c r="S48" s="4">
        <v>-1804000</v>
      </c>
      <c r="T48" s="4">
        <v>-1763000</v>
      </c>
      <c r="U48" s="4">
        <v>-1763000</v>
      </c>
      <c r="V48" s="4">
        <v>-1763000</v>
      </c>
      <c r="W48" s="4">
        <v>-1045000</v>
      </c>
      <c r="X48" s="4">
        <v>-1038000</v>
      </c>
      <c r="Y48" s="4">
        <v>-673000</v>
      </c>
      <c r="Z48" s="4">
        <v>-616000</v>
      </c>
      <c r="AA48" s="4">
        <v>-556000</v>
      </c>
    </row>
    <row r="49" spans="1:33" x14ac:dyDescent="0.2">
      <c r="A49" s="2" t="s">
        <v>8</v>
      </c>
      <c r="B49" s="14">
        <f t="shared" ref="B49:K49" si="48">SUM(B43:B48)</f>
        <v>49042000</v>
      </c>
      <c r="C49" s="14">
        <f t="shared" si="48"/>
        <v>48404000</v>
      </c>
      <c r="D49" s="14">
        <f t="shared" si="48"/>
        <v>39584000</v>
      </c>
      <c r="E49" s="14">
        <f t="shared" si="48"/>
        <v>39553000</v>
      </c>
      <c r="F49" s="14">
        <f t="shared" si="48"/>
        <v>37730000</v>
      </c>
      <c r="G49" s="14">
        <f t="shared" si="48"/>
        <v>35765000</v>
      </c>
      <c r="H49" s="14">
        <f t="shared" si="48"/>
        <v>34784000</v>
      </c>
      <c r="I49" s="14">
        <f t="shared" si="48"/>
        <v>34369000</v>
      </c>
      <c r="J49" s="14">
        <f t="shared" si="48"/>
        <v>32799000</v>
      </c>
      <c r="K49" s="14">
        <f t="shared" si="48"/>
        <v>30747000</v>
      </c>
      <c r="L49" s="14">
        <f t="shared" ref="L49" si="49">SUM(L43:L48)</f>
        <v>30115000</v>
      </c>
      <c r="M49" s="14">
        <f t="shared" ref="M49" si="50">SUM(M43:M48)</f>
        <v>28671000</v>
      </c>
      <c r="N49" s="14">
        <f t="shared" ref="N49" si="51">SUM(N43:N48)</f>
        <v>27468000</v>
      </c>
      <c r="O49" s="14">
        <f t="shared" ref="O49" si="52">SUM(O43:O48)</f>
        <v>26099000</v>
      </c>
      <c r="P49" s="14">
        <f t="shared" ref="P49" si="53">SUM(P43:P48)</f>
        <v>27508000</v>
      </c>
      <c r="Q49" s="14">
        <f t="shared" ref="Q49" si="54">SUM(Q43:Q48)</f>
        <v>27171000</v>
      </c>
      <c r="R49" s="14">
        <f t="shared" ref="R49" si="55">SUM(R43:R48)</f>
        <v>24866000</v>
      </c>
      <c r="S49" s="14">
        <f t="shared" ref="S49" si="56">SUM(S43:S48)</f>
        <v>22054000</v>
      </c>
      <c r="T49" s="14">
        <f t="shared" ref="T49" si="57">SUM(T43:T48)</f>
        <v>20098000</v>
      </c>
      <c r="U49" s="14">
        <f t="shared" ref="U49" si="58">SUM(U43:U48)</f>
        <v>17203000</v>
      </c>
      <c r="V49" s="14">
        <f t="shared" ref="V49" si="59">SUM(V43:V48)</f>
        <v>14885000</v>
      </c>
      <c r="W49" s="14">
        <f t="shared" ref="W49" si="60">SUM(W43:W48)</f>
        <v>14307000</v>
      </c>
      <c r="X49" s="14">
        <f t="shared" ref="X49" si="61">SUM(X43:X48)</f>
        <v>13230000</v>
      </c>
      <c r="Y49" s="14">
        <f t="shared" ref="Y49" si="62">SUM(Y43:Y48)</f>
        <v>11358000</v>
      </c>
      <c r="Z49" s="14">
        <f t="shared" ref="Z49" si="63">SUM(Z43:Z48)</f>
        <v>8986000</v>
      </c>
      <c r="AA49" s="14">
        <f t="shared" ref="AA49" si="64">SUM(AA43:AA48)</f>
        <v>7212000</v>
      </c>
    </row>
    <row r="50" spans="1:33" ht="17" thickBot="1" x14ac:dyDescent="0.25">
      <c r="A50" s="3" t="s">
        <v>39</v>
      </c>
      <c r="B50" s="12">
        <f t="shared" ref="B50" si="65">B35+B41+B49</f>
        <v>54031000</v>
      </c>
      <c r="C50" s="12">
        <f t="shared" ref="C50" si="66">C35+C41+C49</f>
        <v>54136000</v>
      </c>
      <c r="D50" s="12">
        <f t="shared" ref="D50" si="67">D35+D41+D49</f>
        <v>43762000</v>
      </c>
      <c r="E50" s="12">
        <f t="shared" ref="E50" si="68">E35+E41+E49</f>
        <v>43027000</v>
      </c>
      <c r="F50" s="12">
        <f t="shared" ref="F50" si="69">F35+F41+F49</f>
        <v>40942000</v>
      </c>
      <c r="G50" s="12">
        <f t="shared" ref="G50" si="70">G35+G41+G49</f>
        <v>38464000</v>
      </c>
      <c r="H50" s="12">
        <f t="shared" ref="H50" si="71">H35+H41+H49</f>
        <v>36668000</v>
      </c>
      <c r="I50" s="12">
        <f t="shared" ref="I50" si="72">I35+I41+I49</f>
        <v>36856000</v>
      </c>
      <c r="J50" s="12">
        <f t="shared" ref="J50" si="73">J35+J41+J49</f>
        <v>35083000</v>
      </c>
      <c r="K50" s="12">
        <f t="shared" ref="K50" si="74">K35+K41+K49</f>
        <v>32456000</v>
      </c>
      <c r="L50" s="12">
        <f t="shared" ref="L50:AA50" si="75">L35+L41+L49</f>
        <v>31387000</v>
      </c>
      <c r="M50" s="12">
        <f t="shared" si="75"/>
        <v>29588000</v>
      </c>
      <c r="N50" s="12">
        <f t="shared" si="75"/>
        <v>28198000</v>
      </c>
      <c r="O50" s="12">
        <f t="shared" si="75"/>
        <v>26843000</v>
      </c>
      <c r="P50" s="12">
        <f t="shared" si="75"/>
        <v>28214000</v>
      </c>
      <c r="Q50" s="12">
        <f t="shared" si="75"/>
        <v>27895000</v>
      </c>
      <c r="R50" s="12">
        <f t="shared" si="75"/>
        <v>25570000</v>
      </c>
      <c r="S50" s="12">
        <f t="shared" si="75"/>
        <v>22751000</v>
      </c>
      <c r="T50" s="12">
        <f t="shared" si="75"/>
        <v>20534000</v>
      </c>
      <c r="U50" s="12">
        <f t="shared" si="75"/>
        <v>17856000</v>
      </c>
      <c r="V50" s="12">
        <f t="shared" si="75"/>
        <v>15473000</v>
      </c>
      <c r="W50" s="12">
        <f t="shared" si="75"/>
        <v>14894000</v>
      </c>
      <c r="X50" s="12">
        <f t="shared" si="75"/>
        <v>13740000</v>
      </c>
      <c r="Y50" s="12">
        <f t="shared" si="75"/>
        <v>12050000</v>
      </c>
      <c r="Z50" s="12">
        <f t="shared" si="75"/>
        <v>9795000</v>
      </c>
      <c r="AA50" s="12">
        <f t="shared" si="75"/>
        <v>8064000</v>
      </c>
    </row>
    <row r="51" spans="1:33" ht="17" thickTop="1" x14ac:dyDescent="0.2">
      <c r="B51" s="9">
        <f t="shared" ref="B51" si="76">B50-B25</f>
        <v>0</v>
      </c>
      <c r="C51" s="9">
        <f t="shared" ref="C51" si="77">C50-C25</f>
        <v>0</v>
      </c>
      <c r="D51" s="9">
        <f t="shared" ref="D51" si="78">D50-D25</f>
        <v>0</v>
      </c>
      <c r="E51" s="9">
        <f t="shared" ref="E51" si="79">E50-E25</f>
        <v>0</v>
      </c>
      <c r="F51" s="9">
        <f t="shared" ref="F51" si="80">F50-F25</f>
        <v>0</v>
      </c>
      <c r="G51" s="9">
        <f t="shared" ref="G51" si="81">G50-G25</f>
        <v>0</v>
      </c>
      <c r="H51" s="9">
        <f t="shared" ref="H51" si="82">H50-H25</f>
        <v>0</v>
      </c>
      <c r="I51" s="9">
        <f t="shared" ref="I51" si="83">I50-I25</f>
        <v>0</v>
      </c>
      <c r="J51" s="9">
        <f t="shared" ref="J51" si="84">J50-J25</f>
        <v>0</v>
      </c>
      <c r="K51" s="9">
        <f t="shared" ref="K51" si="85">K50-K25</f>
        <v>0</v>
      </c>
      <c r="L51" s="9">
        <f t="shared" ref="L51:AA51" si="86">L50-L25</f>
        <v>0</v>
      </c>
      <c r="M51" s="9">
        <f t="shared" si="86"/>
        <v>0</v>
      </c>
      <c r="N51" s="9">
        <f t="shared" si="86"/>
        <v>0</v>
      </c>
      <c r="O51" s="9">
        <f t="shared" si="86"/>
        <v>0</v>
      </c>
      <c r="P51" s="9">
        <f t="shared" si="86"/>
        <v>0</v>
      </c>
      <c r="Q51" s="9">
        <f t="shared" si="86"/>
        <v>0</v>
      </c>
      <c r="R51" s="9">
        <f t="shared" si="86"/>
        <v>0</v>
      </c>
      <c r="S51" s="9">
        <f t="shared" si="86"/>
        <v>0</v>
      </c>
      <c r="T51" s="9">
        <f t="shared" si="86"/>
        <v>0</v>
      </c>
      <c r="U51" s="9">
        <f t="shared" si="86"/>
        <v>0</v>
      </c>
      <c r="V51" s="9">
        <f t="shared" si="86"/>
        <v>0</v>
      </c>
      <c r="W51" s="9">
        <f t="shared" si="86"/>
        <v>0</v>
      </c>
      <c r="X51" s="9">
        <f t="shared" si="86"/>
        <v>0</v>
      </c>
      <c r="Y51" s="9">
        <f t="shared" si="86"/>
        <v>0</v>
      </c>
      <c r="Z51" s="9">
        <f t="shared" si="86"/>
        <v>0</v>
      </c>
      <c r="AA51" s="9">
        <f t="shared" si="86"/>
        <v>0</v>
      </c>
    </row>
    <row r="52" spans="1:33" s="3" customFormat="1" x14ac:dyDescent="0.2">
      <c r="A52" s="3" t="s">
        <v>172</v>
      </c>
      <c r="B52" s="15">
        <f>8502881-3571693</f>
        <v>4931188</v>
      </c>
      <c r="C52" s="15">
        <f>8502881-3556412</f>
        <v>4946469</v>
      </c>
      <c r="D52" s="15">
        <f>8502881-3552954</f>
        <v>4949927</v>
      </c>
      <c r="E52" s="15">
        <f>8502881-3544271</f>
        <v>4958610</v>
      </c>
      <c r="F52" s="15">
        <f>8502881-3534784</f>
        <v>4968097</v>
      </c>
      <c r="G52" s="15">
        <f>8502881-3557606</f>
        <v>4945275</v>
      </c>
      <c r="H52" s="15">
        <f>8502881-3481021</f>
        <v>5021860</v>
      </c>
      <c r="I52" s="15">
        <f>8502881-3477156</f>
        <v>5025725</v>
      </c>
      <c r="J52" s="15">
        <f>8502881-3472706</f>
        <v>5030175</v>
      </c>
      <c r="K52" s="15">
        <f>8502881-3467356</f>
        <v>5035525</v>
      </c>
      <c r="L52" s="15">
        <f>8502832-3460282</f>
        <v>5042550</v>
      </c>
      <c r="M52" s="15">
        <f>8502832-3451857</f>
        <v>5050975</v>
      </c>
      <c r="N52" s="15">
        <f>8502832-3438352</f>
        <v>5064480</v>
      </c>
      <c r="O52" s="16">
        <f>8502832-3376548</f>
        <v>5126284</v>
      </c>
      <c r="P52" s="16">
        <f>8502832-3326551</f>
        <v>5176281</v>
      </c>
      <c r="Q52" s="16">
        <f>8502832-3166104</f>
        <v>5336728</v>
      </c>
      <c r="R52" s="16">
        <f>8502832-3155819</f>
        <v>5347013</v>
      </c>
      <c r="S52" s="16">
        <f>8502832-3109379</f>
        <v>5393453</v>
      </c>
      <c r="T52" s="16">
        <f>8502832-3100304</f>
        <v>5402528</v>
      </c>
      <c r="U52" s="16">
        <f>8502832-3100304</f>
        <v>5402528</v>
      </c>
      <c r="V52" s="16">
        <f>8502832-3097429</f>
        <v>5405403</v>
      </c>
      <c r="W52" s="16">
        <f>8502832-2592424</f>
        <v>5910408</v>
      </c>
      <c r="X52" s="16">
        <f>8502832-2592424</f>
        <v>5910408</v>
      </c>
      <c r="Y52" s="16">
        <f>8502832-2468674</f>
        <v>6034158</v>
      </c>
      <c r="Z52" s="16">
        <f>8502832-2448724</f>
        <v>6054108</v>
      </c>
      <c r="AA52" s="16">
        <f>8502832-2415439</f>
        <v>6087393</v>
      </c>
    </row>
    <row r="53" spans="1:33" x14ac:dyDescent="0.2">
      <c r="A53" s="3" t="s">
        <v>9</v>
      </c>
      <c r="B53" s="17">
        <f>B49/B52</f>
        <v>9.9452707947861647</v>
      </c>
      <c r="C53" s="17">
        <f t="shared" ref="C53" si="87">C49/C52</f>
        <v>9.7855662291626615</v>
      </c>
      <c r="D53" s="17">
        <f t="shared" ref="D53" si="88">D49/D52</f>
        <v>7.9968856106362782</v>
      </c>
      <c r="E53" s="17">
        <f t="shared" ref="E53" si="89">E49/E52</f>
        <v>7.9766305476736425</v>
      </c>
      <c r="F53" s="17">
        <f t="shared" ref="F53" si="90">F49/F52</f>
        <v>7.5944571935692879</v>
      </c>
      <c r="G53" s="17">
        <f t="shared" ref="G53" si="91">G49/G52</f>
        <v>7.2321559468381436</v>
      </c>
      <c r="H53" s="17">
        <f t="shared" ref="H53" si="92">H49/H52</f>
        <v>6.9265172665108148</v>
      </c>
      <c r="I53" s="17">
        <f t="shared" ref="I53" si="93">I49/I52</f>
        <v>6.8386153241572112</v>
      </c>
      <c r="J53" s="17">
        <f t="shared" ref="J53" si="94">J49/J52</f>
        <v>6.5204490897433987</v>
      </c>
      <c r="K53" s="17">
        <f t="shared" ref="K53" si="95">K49/K52</f>
        <v>6.1060167509842564</v>
      </c>
      <c r="L53" s="17">
        <f t="shared" ref="L53:AA53" si="96">L49/L52</f>
        <v>5.9721767756393094</v>
      </c>
      <c r="M53" s="17">
        <f t="shared" si="96"/>
        <v>5.6763298175104806</v>
      </c>
      <c r="N53" s="17">
        <f t="shared" si="96"/>
        <v>5.4236565254478251</v>
      </c>
      <c r="O53" s="18">
        <f t="shared" si="96"/>
        <v>5.0912122699405655</v>
      </c>
      <c r="P53" s="18">
        <f t="shared" si="96"/>
        <v>5.3142400885886989</v>
      </c>
      <c r="Q53" s="18">
        <f t="shared" si="96"/>
        <v>5.0913218736274359</v>
      </c>
      <c r="R53" s="18">
        <f t="shared" si="96"/>
        <v>4.6504468943688746</v>
      </c>
      <c r="S53" s="18">
        <f t="shared" si="96"/>
        <v>4.0890316463312093</v>
      </c>
      <c r="T53" s="18">
        <f t="shared" si="96"/>
        <v>3.7201102891090985</v>
      </c>
      <c r="U53" s="18">
        <f t="shared" si="96"/>
        <v>3.1842500399812828</v>
      </c>
      <c r="V53" s="18">
        <f t="shared" si="96"/>
        <v>2.7537262254081702</v>
      </c>
      <c r="W53" s="18">
        <f t="shared" si="96"/>
        <v>2.4206450722183646</v>
      </c>
      <c r="X53" s="18">
        <f t="shared" si="96"/>
        <v>2.2384241493988233</v>
      </c>
      <c r="Y53" s="18">
        <f t="shared" si="96"/>
        <v>1.8822841562981945</v>
      </c>
      <c r="Z53" s="18">
        <f t="shared" si="96"/>
        <v>1.4842814168495178</v>
      </c>
      <c r="AA53" s="18">
        <f t="shared" si="96"/>
        <v>1.184743616848789</v>
      </c>
    </row>
    <row r="54" spans="1:33" x14ac:dyDescent="0.2">
      <c r="A54" s="3" t="s">
        <v>14</v>
      </c>
      <c r="B54" s="17">
        <f>(B49-B22)/B52</f>
        <v>9.6875235744408847</v>
      </c>
      <c r="C54" s="17">
        <f t="shared" ref="C54:AA54" si="97">(C49-C22)/C52</f>
        <v>9.5037490379501008</v>
      </c>
      <c r="D54" s="17">
        <f t="shared" si="97"/>
        <v>7.6904164445253436</v>
      </c>
      <c r="E54" s="17">
        <f t="shared" si="97"/>
        <v>7.6458926997686856</v>
      </c>
      <c r="F54" s="17">
        <f t="shared" si="97"/>
        <v>7.2395929467560718</v>
      </c>
      <c r="G54" s="17">
        <f t="shared" si="97"/>
        <v>7.2321559468381436</v>
      </c>
      <c r="H54" s="17">
        <f t="shared" si="97"/>
        <v>6.9265172665108148</v>
      </c>
      <c r="I54" s="17">
        <f t="shared" si="97"/>
        <v>6.8386153241572112</v>
      </c>
      <c r="J54" s="17">
        <f t="shared" si="97"/>
        <v>6.5204490897433987</v>
      </c>
      <c r="K54" s="17">
        <f t="shared" si="97"/>
        <v>6.1060167509842564</v>
      </c>
      <c r="L54" s="17">
        <f t="shared" si="97"/>
        <v>5.9721767756393094</v>
      </c>
      <c r="M54" s="17">
        <f t="shared" si="97"/>
        <v>5.6763298175104806</v>
      </c>
      <c r="N54" s="17">
        <f t="shared" si="97"/>
        <v>5.4236565254478251</v>
      </c>
      <c r="O54" s="17">
        <f t="shared" si="97"/>
        <v>5.0912122699405655</v>
      </c>
      <c r="P54" s="17">
        <f t="shared" si="97"/>
        <v>5.3142400885886989</v>
      </c>
      <c r="Q54" s="17">
        <f t="shared" si="97"/>
        <v>5.0913218736274359</v>
      </c>
      <c r="R54" s="17">
        <f t="shared" si="97"/>
        <v>4.6504468943688746</v>
      </c>
      <c r="S54" s="17">
        <f t="shared" si="97"/>
        <v>4.0890316463312093</v>
      </c>
      <c r="T54" s="17">
        <f t="shared" si="97"/>
        <v>3.7201102891090985</v>
      </c>
      <c r="U54" s="17">
        <f t="shared" si="97"/>
        <v>3.1842500399812828</v>
      </c>
      <c r="V54" s="17">
        <f t="shared" si="97"/>
        <v>2.7537262254081702</v>
      </c>
      <c r="W54" s="17">
        <f t="shared" si="97"/>
        <v>2.4206450722183646</v>
      </c>
      <c r="X54" s="17">
        <f t="shared" si="97"/>
        <v>2.2384241493988233</v>
      </c>
      <c r="Y54" s="17">
        <f t="shared" si="97"/>
        <v>1.8822841562981945</v>
      </c>
      <c r="Z54" s="17">
        <f t="shared" si="97"/>
        <v>1.4842814168495178</v>
      </c>
      <c r="AA54" s="17">
        <f t="shared" si="97"/>
        <v>1.184743616848789</v>
      </c>
    </row>
    <row r="55" spans="1:33" x14ac:dyDescent="0.2">
      <c r="A55" s="3" t="s">
        <v>37</v>
      </c>
      <c r="B55" s="17">
        <f t="shared" ref="B55:AA55" si="98">(B6+B7)/B52</f>
        <v>7.5148219861015235</v>
      </c>
      <c r="C55" s="17">
        <f t="shared" si="98"/>
        <v>8.2206115109586246</v>
      </c>
      <c r="D55" s="17">
        <f t="shared" si="98"/>
        <v>6.4202967033655245</v>
      </c>
      <c r="E55" s="17">
        <f t="shared" si="98"/>
        <v>6.4864952073262465</v>
      </c>
      <c r="F55" s="17">
        <f t="shared" si="98"/>
        <v>6.1673514023578848</v>
      </c>
      <c r="G55" s="17">
        <f t="shared" si="98"/>
        <v>6.6402778409694099</v>
      </c>
      <c r="H55" s="17">
        <f t="shared" si="98"/>
        <v>6.0630921610717943</v>
      </c>
      <c r="I55" s="17">
        <f t="shared" si="98"/>
        <v>6.1597083007924232</v>
      </c>
      <c r="J55" s="17">
        <f t="shared" si="98"/>
        <v>5.9194759625659144</v>
      </c>
      <c r="K55" s="17">
        <f t="shared" si="98"/>
        <v>5.3752091390669294</v>
      </c>
      <c r="L55" s="17">
        <f t="shared" si="98"/>
        <v>5.1666319620033514</v>
      </c>
      <c r="M55" s="17">
        <f t="shared" si="98"/>
        <v>4.9032117561460904</v>
      </c>
      <c r="N55" s="17">
        <f t="shared" si="98"/>
        <v>4.5904021735696459</v>
      </c>
      <c r="O55" s="18">
        <f t="shared" si="98"/>
        <v>3.9720780198678027</v>
      </c>
      <c r="P55" s="18">
        <f t="shared" si="98"/>
        <v>4.1738460489297236</v>
      </c>
      <c r="Q55" s="18">
        <f t="shared" si="98"/>
        <v>4.0003912509687582</v>
      </c>
      <c r="R55" s="18">
        <f t="shared" si="98"/>
        <v>3.6106140007514478</v>
      </c>
      <c r="S55" s="18">
        <f t="shared" si="98"/>
        <v>3.1892370249634139</v>
      </c>
      <c r="T55" s="18">
        <f t="shared" si="98"/>
        <v>2.784992507211439</v>
      </c>
      <c r="U55" s="18">
        <f t="shared" si="98"/>
        <v>2.2915198218315576</v>
      </c>
      <c r="V55" s="18">
        <f t="shared" si="98"/>
        <v>1.8098558053858333</v>
      </c>
      <c r="W55" s="18">
        <f t="shared" si="98"/>
        <v>1.4751942674685063</v>
      </c>
      <c r="X55" s="18">
        <f t="shared" si="98"/>
        <v>1.2853596570659758</v>
      </c>
      <c r="Y55" s="18">
        <f t="shared" si="98"/>
        <v>1.0977505063672512</v>
      </c>
      <c r="Z55" s="18">
        <f t="shared" si="98"/>
        <v>0.88634031636039534</v>
      </c>
      <c r="AA55" s="18">
        <f t="shared" si="98"/>
        <v>0.67073047526256313</v>
      </c>
    </row>
    <row r="56" spans="1:33" x14ac:dyDescent="0.2">
      <c r="A56" s="3" t="s">
        <v>19</v>
      </c>
      <c r="B56" s="17">
        <f>(B15-B35-B41)/B52</f>
        <v>9.2269854647602152</v>
      </c>
      <c r="C56" s="17">
        <f t="shared" ref="C56:K56" si="99">(C15-C35-C41)/C52</f>
        <v>9.0541353842508663</v>
      </c>
      <c r="D56" s="17">
        <f t="shared" si="99"/>
        <v>7.3251585326409865</v>
      </c>
      <c r="E56" s="17">
        <f t="shared" si="99"/>
        <v>7.3641605207911089</v>
      </c>
      <c r="F56" s="17">
        <f>(F15-F35-F41)/F52</f>
        <v>6.9628270140458204</v>
      </c>
      <c r="G56" s="17">
        <f t="shared" si="99"/>
        <v>7.0248873925110331</v>
      </c>
      <c r="H56" s="17">
        <f t="shared" si="99"/>
        <v>6.7120548959947115</v>
      </c>
      <c r="I56" s="17">
        <f t="shared" si="99"/>
        <v>6.6454093687975364</v>
      </c>
      <c r="J56" s="17">
        <f t="shared" si="99"/>
        <v>6.3405348720471952</v>
      </c>
      <c r="K56" s="17">
        <f t="shared" si="99"/>
        <v>5.9100093833314302</v>
      </c>
      <c r="L56" s="17">
        <f t="shared" ref="L56:AA56" si="100">(L15-L35-L41)/L52</f>
        <v>5.7641471081099844</v>
      </c>
      <c r="M56" s="17">
        <f t="shared" si="100"/>
        <v>5.4642915476714888</v>
      </c>
      <c r="N56" s="17">
        <f t="shared" si="100"/>
        <v>5.2159352983919378</v>
      </c>
      <c r="O56" s="18">
        <f t="shared" si="100"/>
        <v>4.8729254953490679</v>
      </c>
      <c r="P56" s="18">
        <f t="shared" si="100"/>
        <v>5.0878227051429397</v>
      </c>
      <c r="Q56" s="18">
        <f t="shared" si="100"/>
        <v>4.8700252289417785</v>
      </c>
      <c r="R56" s="18">
        <f t="shared" si="100"/>
        <v>4.4340644019380537</v>
      </c>
      <c r="S56" s="18">
        <f t="shared" si="100"/>
        <v>3.8976885494320612</v>
      </c>
      <c r="T56" s="18">
        <f t="shared" si="100"/>
        <v>3.5200187763950508</v>
      </c>
      <c r="U56" s="18">
        <f t="shared" si="100"/>
        <v>2.9682400535453031</v>
      </c>
      <c r="V56" s="18">
        <f t="shared" si="100"/>
        <v>2.5511511352622551</v>
      </c>
      <c r="W56" s="18">
        <f t="shared" si="100"/>
        <v>2.2181209825108521</v>
      </c>
      <c r="X56" s="18">
        <f t="shared" si="100"/>
        <v>2.0139049622293417</v>
      </c>
      <c r="Y56" s="18">
        <f t="shared" si="100"/>
        <v>1.7266700673068223</v>
      </c>
      <c r="Z56" s="18">
        <f t="shared" si="100"/>
        <v>1.3336399020301586</v>
      </c>
      <c r="AA56" s="18">
        <f t="shared" si="100"/>
        <v>1.0659735620815018</v>
      </c>
    </row>
    <row r="57" spans="1:33" x14ac:dyDescent="0.2">
      <c r="A57" s="3" t="s">
        <v>62</v>
      </c>
      <c r="B57" s="17">
        <f t="shared" ref="B57:AA57" si="101">B7/B52</f>
        <v>6.2822589607210269</v>
      </c>
      <c r="C57" s="17">
        <f t="shared" si="101"/>
        <v>6.7395550239979265</v>
      </c>
      <c r="D57" s="17">
        <f t="shared" si="101"/>
        <v>5.1156309981945185</v>
      </c>
      <c r="E57" s="17">
        <f t="shared" si="101"/>
        <v>5.5037601263257248</v>
      </c>
      <c r="F57" s="17">
        <f t="shared" si="101"/>
        <v>5.303036555043108</v>
      </c>
      <c r="G57" s="17">
        <f t="shared" si="101"/>
        <v>5.3347892685442169</v>
      </c>
      <c r="H57" s="17">
        <f t="shared" si="101"/>
        <v>4.8846443349675219</v>
      </c>
      <c r="I57" s="17">
        <f t="shared" si="101"/>
        <v>5.027334364693651</v>
      </c>
      <c r="J57" s="17">
        <f t="shared" si="101"/>
        <v>4.7521209500663497</v>
      </c>
      <c r="K57" s="17">
        <f t="shared" si="101"/>
        <v>4.410265066701089</v>
      </c>
      <c r="L57" s="17">
        <f t="shared" si="101"/>
        <v>4.0217746973257578</v>
      </c>
      <c r="M57" s="17">
        <f t="shared" si="101"/>
        <v>3.8630165463103658</v>
      </c>
      <c r="N57" s="17">
        <f t="shared" si="101"/>
        <v>3.871473478027359</v>
      </c>
      <c r="O57" s="17">
        <f t="shared" si="101"/>
        <v>3.0608916712378793</v>
      </c>
      <c r="P57" s="17">
        <f t="shared" si="101"/>
        <v>3.3871808736813169</v>
      </c>
      <c r="Q57" s="17">
        <f t="shared" si="101"/>
        <v>3.1363786949606576</v>
      </c>
      <c r="R57" s="17">
        <f t="shared" si="101"/>
        <v>2.5829374269335048</v>
      </c>
      <c r="S57" s="17">
        <f t="shared" si="101"/>
        <v>2.1785672369815776</v>
      </c>
      <c r="T57" s="17">
        <f t="shared" si="101"/>
        <v>1.9927707917478632</v>
      </c>
      <c r="U57" s="17">
        <f t="shared" si="101"/>
        <v>1.7919388849072138</v>
      </c>
      <c r="V57" s="17">
        <f t="shared" si="101"/>
        <v>1.6074657153222434</v>
      </c>
      <c r="W57" s="17">
        <f t="shared" si="101"/>
        <v>1.0518732378543072</v>
      </c>
      <c r="X57" s="17">
        <f t="shared" si="101"/>
        <v>1.1232727080770057</v>
      </c>
      <c r="Y57" s="17">
        <f t="shared" si="101"/>
        <v>0.90551158918941133</v>
      </c>
      <c r="Z57" s="17">
        <f t="shared" si="101"/>
        <v>0.7371853954372799</v>
      </c>
      <c r="AA57" s="17">
        <f t="shared" si="101"/>
        <v>0.56345959592226103</v>
      </c>
    </row>
    <row r="58" spans="1:33" x14ac:dyDescent="0.2">
      <c r="B58" s="9"/>
      <c r="C58" s="9"/>
      <c r="D58" s="9"/>
      <c r="E58" s="9"/>
      <c r="F58" s="9"/>
      <c r="G58" s="9"/>
      <c r="H58" s="9"/>
      <c r="I58" s="9"/>
      <c r="J58" s="9"/>
      <c r="K58" s="9"/>
      <c r="L58" s="9"/>
      <c r="M58" s="9"/>
      <c r="N58" s="9"/>
    </row>
    <row r="59" spans="1:33" s="3" customFormat="1" x14ac:dyDescent="0.2">
      <c r="A59" s="3" t="s">
        <v>156</v>
      </c>
      <c r="B59" s="81">
        <f>B15/B35</f>
        <v>15.54943024330151</v>
      </c>
      <c r="C59" s="81">
        <f t="shared" ref="C59:AA59" si="102">C15/C35</f>
        <v>16.856189522856191</v>
      </c>
      <c r="D59" s="81">
        <f t="shared" si="102"/>
        <v>11.623167576889911</v>
      </c>
      <c r="E59" s="81">
        <f t="shared" si="102"/>
        <v>17.570298769771529</v>
      </c>
      <c r="F59" s="81">
        <f t="shared" si="102"/>
        <v>16.749667700487372</v>
      </c>
      <c r="G59" s="81">
        <f t="shared" si="102"/>
        <v>20.880646960401563</v>
      </c>
      <c r="H59" s="81">
        <f t="shared" si="102"/>
        <v>21.022445363260484</v>
      </c>
      <c r="I59" s="81">
        <f t="shared" si="102"/>
        <v>15.12858347386172</v>
      </c>
      <c r="J59" s="81">
        <f t="shared" si="102"/>
        <v>15.6492673992674</v>
      </c>
      <c r="K59" s="81">
        <f t="shared" si="102"/>
        <v>19.967639593908629</v>
      </c>
      <c r="L59" s="81">
        <f t="shared" si="102"/>
        <v>26.542432195975504</v>
      </c>
      <c r="M59" s="74">
        <f t="shared" si="102"/>
        <v>33.19790454016298</v>
      </c>
      <c r="N59" s="74">
        <f t="shared" si="102"/>
        <v>41.763076923076923</v>
      </c>
      <c r="O59" s="74">
        <f t="shared" si="102"/>
        <v>39.09422492401216</v>
      </c>
      <c r="P59" s="74">
        <f t="shared" si="102"/>
        <v>43.12918660287081</v>
      </c>
      <c r="Q59" s="74">
        <f t="shared" si="102"/>
        <v>42.742400000000004</v>
      </c>
      <c r="R59" s="74">
        <f t="shared" si="102"/>
        <v>38.689381933438987</v>
      </c>
      <c r="S59" s="74">
        <f t="shared" si="102"/>
        <v>34.149371069182386</v>
      </c>
      <c r="T59" s="74">
        <f t="shared" si="102"/>
        <v>47.562347188264056</v>
      </c>
      <c r="U59" s="74">
        <f t="shared" si="102"/>
        <v>28.873702422145328</v>
      </c>
      <c r="V59" s="74">
        <f t="shared" si="102"/>
        <v>33.20554272517321</v>
      </c>
      <c r="W59" s="74">
        <f t="shared" si="102"/>
        <v>27.015779092702168</v>
      </c>
      <c r="X59" s="74">
        <f t="shared" si="102"/>
        <v>31.665816326530614</v>
      </c>
      <c r="Y59" s="74">
        <f t="shared" si="102"/>
        <v>19.665486725663715</v>
      </c>
      <c r="Z59" s="74">
        <f t="shared" si="102"/>
        <v>14.350565428109855</v>
      </c>
      <c r="AA59" s="74">
        <f t="shared" si="102"/>
        <v>12.034426229508197</v>
      </c>
      <c r="AB59" s="18"/>
      <c r="AC59" s="18"/>
      <c r="AD59" s="18"/>
      <c r="AE59" s="19"/>
      <c r="AF59" s="19"/>
      <c r="AG59" s="19"/>
    </row>
    <row r="60" spans="1:33" x14ac:dyDescent="0.2">
      <c r="A60" s="72"/>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20"/>
      <c r="AC60" s="20"/>
      <c r="AD60" s="20"/>
      <c r="AE60" s="21"/>
      <c r="AF60" s="21"/>
      <c r="AG60" s="21"/>
    </row>
    <row r="61" spans="1:33" x14ac:dyDescent="0.2">
      <c r="A61" s="3" t="s">
        <v>157</v>
      </c>
      <c r="N61" s="20"/>
      <c r="O61" s="20"/>
      <c r="P61" s="20"/>
      <c r="Q61" s="20"/>
      <c r="R61" s="20"/>
      <c r="S61" s="20"/>
      <c r="T61" s="20"/>
      <c r="U61" s="20"/>
      <c r="V61" s="20"/>
      <c r="W61" s="20"/>
      <c r="X61" s="20"/>
      <c r="Y61" s="20"/>
      <c r="Z61" s="20"/>
      <c r="AB61" s="20"/>
      <c r="AC61" s="20"/>
      <c r="AD61" s="20"/>
      <c r="AE61" s="21"/>
      <c r="AF61" s="21"/>
      <c r="AG61" s="21"/>
    </row>
    <row r="62" spans="1:33" x14ac:dyDescent="0.2">
      <c r="A62" s="72" t="s">
        <v>160</v>
      </c>
      <c r="B62" s="22">
        <f>B6-2000000</f>
        <v>4078000</v>
      </c>
      <c r="C62" s="22">
        <f t="shared" ref="C62:AA62" si="103">C6-2000000</f>
        <v>5326000</v>
      </c>
      <c r="D62" s="22">
        <f t="shared" si="103"/>
        <v>4458000</v>
      </c>
      <c r="E62" s="22">
        <f t="shared" si="103"/>
        <v>2873000</v>
      </c>
      <c r="F62" s="22">
        <f t="shared" si="103"/>
        <v>2294000</v>
      </c>
      <c r="G62" s="22">
        <f t="shared" si="103"/>
        <v>4456000</v>
      </c>
      <c r="H62" s="22">
        <f t="shared" si="103"/>
        <v>3918000</v>
      </c>
      <c r="I62" s="22">
        <f t="shared" si="103"/>
        <v>3691000</v>
      </c>
      <c r="J62" s="22">
        <f t="shared" si="103"/>
        <v>3872000</v>
      </c>
      <c r="K62" s="22">
        <f t="shared" si="103"/>
        <v>2859000</v>
      </c>
      <c r="L62" s="22">
        <f t="shared" si="103"/>
        <v>3773000</v>
      </c>
      <c r="M62" s="22">
        <f t="shared" si="103"/>
        <v>3254000</v>
      </c>
      <c r="N62" s="22">
        <f t="shared" si="103"/>
        <v>1641000</v>
      </c>
      <c r="O62" s="22">
        <f t="shared" si="103"/>
        <v>2671000</v>
      </c>
      <c r="P62" s="22">
        <f t="shared" si="103"/>
        <v>2072000</v>
      </c>
      <c r="Q62" s="22">
        <f t="shared" si="103"/>
        <v>2611000</v>
      </c>
      <c r="R62" s="22">
        <f t="shared" si="103"/>
        <v>3495000</v>
      </c>
      <c r="S62" s="22">
        <f t="shared" si="103"/>
        <v>3451000</v>
      </c>
      <c r="T62" s="22">
        <f t="shared" si="103"/>
        <v>2280000</v>
      </c>
      <c r="U62" s="22">
        <f t="shared" si="103"/>
        <v>699000</v>
      </c>
      <c r="V62" s="22">
        <f t="shared" si="103"/>
        <v>-906000</v>
      </c>
      <c r="W62" s="22">
        <f t="shared" si="103"/>
        <v>502000</v>
      </c>
      <c r="X62" s="22">
        <f t="shared" si="103"/>
        <v>-1042000</v>
      </c>
      <c r="Y62" s="22">
        <f t="shared" si="103"/>
        <v>-840000</v>
      </c>
      <c r="Z62" s="22">
        <f t="shared" si="103"/>
        <v>-1097000</v>
      </c>
      <c r="AA62" s="22">
        <f t="shared" si="103"/>
        <v>-1347000</v>
      </c>
      <c r="AB62" s="20"/>
      <c r="AC62" s="20"/>
      <c r="AD62" s="20"/>
      <c r="AE62" s="21"/>
      <c r="AF62" s="21"/>
      <c r="AG62" s="21"/>
    </row>
    <row r="63" spans="1:33" x14ac:dyDescent="0.2">
      <c r="A63" s="72" t="s">
        <v>158</v>
      </c>
      <c r="B63" s="22">
        <f>B7</f>
        <v>30979000</v>
      </c>
      <c r="C63" s="22">
        <f t="shared" ref="C63:AA63" si="104">C7</f>
        <v>33337000</v>
      </c>
      <c r="D63" s="22">
        <f t="shared" si="104"/>
        <v>25322000</v>
      </c>
      <c r="E63" s="22">
        <f t="shared" si="104"/>
        <v>27291000</v>
      </c>
      <c r="F63" s="22">
        <f t="shared" si="104"/>
        <v>26346000</v>
      </c>
      <c r="G63" s="22">
        <f t="shared" si="104"/>
        <v>26382000</v>
      </c>
      <c r="H63" s="22">
        <f t="shared" si="104"/>
        <v>24530000</v>
      </c>
      <c r="I63" s="22">
        <f t="shared" si="104"/>
        <v>25266000</v>
      </c>
      <c r="J63" s="22">
        <f t="shared" si="104"/>
        <v>23904000</v>
      </c>
      <c r="K63" s="22">
        <f t="shared" si="104"/>
        <v>22208000</v>
      </c>
      <c r="L63" s="22">
        <f t="shared" si="104"/>
        <v>20280000</v>
      </c>
      <c r="M63" s="22">
        <f t="shared" si="104"/>
        <v>19512000</v>
      </c>
      <c r="N63" s="22">
        <f t="shared" si="104"/>
        <v>19607000</v>
      </c>
      <c r="O63" s="22">
        <f t="shared" si="104"/>
        <v>15691000</v>
      </c>
      <c r="P63" s="22">
        <f t="shared" si="104"/>
        <v>17533000</v>
      </c>
      <c r="Q63" s="22">
        <f t="shared" si="104"/>
        <v>16738000</v>
      </c>
      <c r="R63" s="22">
        <f t="shared" si="104"/>
        <v>13811000</v>
      </c>
      <c r="S63" s="22">
        <f t="shared" si="104"/>
        <v>11750000</v>
      </c>
      <c r="T63" s="22">
        <f t="shared" si="104"/>
        <v>10766000</v>
      </c>
      <c r="U63" s="22">
        <f t="shared" si="104"/>
        <v>9681000</v>
      </c>
      <c r="V63" s="22">
        <f t="shared" si="104"/>
        <v>8689000</v>
      </c>
      <c r="W63" s="22">
        <f t="shared" si="104"/>
        <v>6217000</v>
      </c>
      <c r="X63" s="22">
        <f t="shared" si="104"/>
        <v>6639000</v>
      </c>
      <c r="Y63" s="22">
        <f t="shared" si="104"/>
        <v>5464000</v>
      </c>
      <c r="Z63" s="22">
        <f t="shared" si="104"/>
        <v>4463000</v>
      </c>
      <c r="AA63" s="22">
        <f t="shared" si="104"/>
        <v>3430000</v>
      </c>
      <c r="AB63" s="20"/>
      <c r="AC63" s="20"/>
      <c r="AD63" s="20"/>
      <c r="AE63" s="21"/>
      <c r="AF63" s="21"/>
      <c r="AG63" s="21"/>
    </row>
    <row r="64" spans="1:33" x14ac:dyDescent="0.2">
      <c r="A64" s="3" t="s">
        <v>159</v>
      </c>
      <c r="B64" s="75">
        <f>SUM(B62:B63)</f>
        <v>35057000</v>
      </c>
      <c r="C64" s="75">
        <f t="shared" ref="C64:AA64" si="105">SUM(C62:C63)</f>
        <v>38663000</v>
      </c>
      <c r="D64" s="75">
        <f t="shared" si="105"/>
        <v>29780000</v>
      </c>
      <c r="E64" s="75">
        <f t="shared" si="105"/>
        <v>30164000</v>
      </c>
      <c r="F64" s="75">
        <f t="shared" si="105"/>
        <v>28640000</v>
      </c>
      <c r="G64" s="75">
        <f t="shared" si="105"/>
        <v>30838000</v>
      </c>
      <c r="H64" s="75">
        <f t="shared" si="105"/>
        <v>28448000</v>
      </c>
      <c r="I64" s="75">
        <f t="shared" si="105"/>
        <v>28957000</v>
      </c>
      <c r="J64" s="75">
        <f t="shared" si="105"/>
        <v>27776000</v>
      </c>
      <c r="K64" s="75">
        <f t="shared" si="105"/>
        <v>25067000</v>
      </c>
      <c r="L64" s="75">
        <f t="shared" si="105"/>
        <v>24053000</v>
      </c>
      <c r="M64" s="75">
        <f t="shared" si="105"/>
        <v>22766000</v>
      </c>
      <c r="N64" s="75">
        <f t="shared" si="105"/>
        <v>21248000</v>
      </c>
      <c r="O64" s="75">
        <f t="shared" si="105"/>
        <v>18362000</v>
      </c>
      <c r="P64" s="75">
        <f t="shared" si="105"/>
        <v>19605000</v>
      </c>
      <c r="Q64" s="75">
        <f t="shared" si="105"/>
        <v>19349000</v>
      </c>
      <c r="R64" s="75">
        <f t="shared" si="105"/>
        <v>17306000</v>
      </c>
      <c r="S64" s="75">
        <f t="shared" si="105"/>
        <v>15201000</v>
      </c>
      <c r="T64" s="75">
        <f t="shared" si="105"/>
        <v>13046000</v>
      </c>
      <c r="U64" s="75">
        <f t="shared" si="105"/>
        <v>10380000</v>
      </c>
      <c r="V64" s="75">
        <f t="shared" si="105"/>
        <v>7783000</v>
      </c>
      <c r="W64" s="75">
        <f t="shared" si="105"/>
        <v>6719000</v>
      </c>
      <c r="X64" s="75">
        <f t="shared" si="105"/>
        <v>5597000</v>
      </c>
      <c r="Y64" s="75">
        <f t="shared" si="105"/>
        <v>4624000</v>
      </c>
      <c r="Z64" s="75">
        <f t="shared" si="105"/>
        <v>3366000</v>
      </c>
      <c r="AA64" s="75">
        <f t="shared" si="105"/>
        <v>2083000</v>
      </c>
      <c r="AB64" s="20"/>
      <c r="AC64" s="20"/>
      <c r="AD64" s="20"/>
      <c r="AE64" s="21"/>
      <c r="AF64" s="21"/>
      <c r="AG64" s="21"/>
    </row>
    <row r="65" spans="1:33" x14ac:dyDescent="0.2">
      <c r="A65" s="72"/>
      <c r="N65" s="20"/>
      <c r="O65" s="20"/>
      <c r="P65" s="20"/>
      <c r="Q65" s="20"/>
      <c r="R65" s="20"/>
      <c r="S65" s="20"/>
      <c r="T65" s="20"/>
      <c r="U65" s="20"/>
      <c r="V65" s="20"/>
      <c r="W65" s="20"/>
      <c r="X65" s="20"/>
      <c r="Y65" s="20"/>
      <c r="Z65" s="20"/>
      <c r="AB65" s="20"/>
      <c r="AC65" s="20"/>
      <c r="AD65" s="20"/>
      <c r="AE65" s="21"/>
      <c r="AF65" s="21"/>
      <c r="AG65" s="21"/>
    </row>
    <row r="66" spans="1:33" x14ac:dyDescent="0.2">
      <c r="A66" s="72" t="s">
        <v>161</v>
      </c>
      <c r="B66" s="22">
        <f>B49</f>
        <v>49042000</v>
      </c>
      <c r="C66" s="22">
        <f t="shared" ref="C66:AA66" si="106">C49</f>
        <v>48404000</v>
      </c>
      <c r="D66" s="22">
        <f t="shared" si="106"/>
        <v>39584000</v>
      </c>
      <c r="E66" s="22">
        <f t="shared" si="106"/>
        <v>39553000</v>
      </c>
      <c r="F66" s="22">
        <f t="shared" si="106"/>
        <v>37730000</v>
      </c>
      <c r="G66" s="22">
        <f t="shared" si="106"/>
        <v>35765000</v>
      </c>
      <c r="H66" s="22">
        <f t="shared" si="106"/>
        <v>34784000</v>
      </c>
      <c r="I66" s="22">
        <f t="shared" si="106"/>
        <v>34369000</v>
      </c>
      <c r="J66" s="22">
        <f t="shared" si="106"/>
        <v>32799000</v>
      </c>
      <c r="K66" s="22">
        <f t="shared" si="106"/>
        <v>30747000</v>
      </c>
      <c r="L66" s="22">
        <f t="shared" si="106"/>
        <v>30115000</v>
      </c>
      <c r="M66" s="22">
        <f t="shared" si="106"/>
        <v>28671000</v>
      </c>
      <c r="N66" s="22">
        <f t="shared" si="106"/>
        <v>27468000</v>
      </c>
      <c r="O66" s="22">
        <f t="shared" si="106"/>
        <v>26099000</v>
      </c>
      <c r="P66" s="22">
        <f t="shared" si="106"/>
        <v>27508000</v>
      </c>
      <c r="Q66" s="22">
        <f t="shared" si="106"/>
        <v>27171000</v>
      </c>
      <c r="R66" s="22">
        <f t="shared" si="106"/>
        <v>24866000</v>
      </c>
      <c r="S66" s="22">
        <f t="shared" si="106"/>
        <v>22054000</v>
      </c>
      <c r="T66" s="22">
        <f t="shared" si="106"/>
        <v>20098000</v>
      </c>
      <c r="U66" s="22">
        <f t="shared" si="106"/>
        <v>17203000</v>
      </c>
      <c r="V66" s="22">
        <f t="shared" si="106"/>
        <v>14885000</v>
      </c>
      <c r="W66" s="22">
        <f t="shared" si="106"/>
        <v>14307000</v>
      </c>
      <c r="X66" s="22">
        <f t="shared" si="106"/>
        <v>13230000</v>
      </c>
      <c r="Y66" s="22">
        <f t="shared" si="106"/>
        <v>11358000</v>
      </c>
      <c r="Z66" s="22">
        <f t="shared" si="106"/>
        <v>8986000</v>
      </c>
      <c r="AA66" s="22">
        <f t="shared" si="106"/>
        <v>7212000</v>
      </c>
      <c r="AB66" s="20"/>
      <c r="AC66" s="20"/>
      <c r="AD66" s="20"/>
      <c r="AE66" s="21"/>
      <c r="AF66" s="21"/>
      <c r="AG66" s="21"/>
    </row>
    <row r="67" spans="1:33" x14ac:dyDescent="0.2">
      <c r="A67" s="72" t="s">
        <v>162</v>
      </c>
      <c r="B67" s="22">
        <f>-B64</f>
        <v>-35057000</v>
      </c>
      <c r="C67" s="22">
        <f t="shared" ref="C67:AA67" si="107">-C64</f>
        <v>-38663000</v>
      </c>
      <c r="D67" s="22">
        <f t="shared" si="107"/>
        <v>-29780000</v>
      </c>
      <c r="E67" s="22">
        <f t="shared" si="107"/>
        <v>-30164000</v>
      </c>
      <c r="F67" s="22">
        <f t="shared" si="107"/>
        <v>-28640000</v>
      </c>
      <c r="G67" s="22">
        <f t="shared" si="107"/>
        <v>-30838000</v>
      </c>
      <c r="H67" s="22">
        <f t="shared" si="107"/>
        <v>-28448000</v>
      </c>
      <c r="I67" s="22">
        <f t="shared" si="107"/>
        <v>-28957000</v>
      </c>
      <c r="J67" s="22">
        <f t="shared" si="107"/>
        <v>-27776000</v>
      </c>
      <c r="K67" s="22">
        <f t="shared" si="107"/>
        <v>-25067000</v>
      </c>
      <c r="L67" s="22">
        <f t="shared" si="107"/>
        <v>-24053000</v>
      </c>
      <c r="M67" s="22">
        <f t="shared" si="107"/>
        <v>-22766000</v>
      </c>
      <c r="N67" s="22">
        <f t="shared" si="107"/>
        <v>-21248000</v>
      </c>
      <c r="O67" s="22">
        <f t="shared" si="107"/>
        <v>-18362000</v>
      </c>
      <c r="P67" s="22">
        <f t="shared" si="107"/>
        <v>-19605000</v>
      </c>
      <c r="Q67" s="22">
        <f t="shared" si="107"/>
        <v>-19349000</v>
      </c>
      <c r="R67" s="22">
        <f t="shared" si="107"/>
        <v>-17306000</v>
      </c>
      <c r="S67" s="22">
        <f t="shared" si="107"/>
        <v>-15201000</v>
      </c>
      <c r="T67" s="22">
        <f t="shared" si="107"/>
        <v>-13046000</v>
      </c>
      <c r="U67" s="22">
        <f t="shared" si="107"/>
        <v>-10380000</v>
      </c>
      <c r="V67" s="22">
        <f t="shared" si="107"/>
        <v>-7783000</v>
      </c>
      <c r="W67" s="22">
        <f t="shared" si="107"/>
        <v>-6719000</v>
      </c>
      <c r="X67" s="22">
        <f t="shared" si="107"/>
        <v>-5597000</v>
      </c>
      <c r="Y67" s="22">
        <f t="shared" si="107"/>
        <v>-4624000</v>
      </c>
      <c r="Z67" s="22">
        <f t="shared" si="107"/>
        <v>-3366000</v>
      </c>
      <c r="AA67" s="22">
        <f t="shared" si="107"/>
        <v>-2083000</v>
      </c>
      <c r="AB67" s="20"/>
      <c r="AC67" s="20"/>
      <c r="AD67" s="20"/>
      <c r="AE67" s="21"/>
      <c r="AF67" s="21"/>
      <c r="AG67" s="21"/>
    </row>
    <row r="68" spans="1:33" x14ac:dyDescent="0.2">
      <c r="A68" s="3" t="s">
        <v>163</v>
      </c>
      <c r="B68" s="75">
        <f>SUM(B66:B67)</f>
        <v>13985000</v>
      </c>
      <c r="C68" s="75">
        <f t="shared" ref="C68:AA68" si="108">SUM(C66:C67)</f>
        <v>9741000</v>
      </c>
      <c r="D68" s="75">
        <f t="shared" si="108"/>
        <v>9804000</v>
      </c>
      <c r="E68" s="75">
        <f t="shared" si="108"/>
        <v>9389000</v>
      </c>
      <c r="F68" s="75">
        <f t="shared" si="108"/>
        <v>9090000</v>
      </c>
      <c r="G68" s="75">
        <f t="shared" si="108"/>
        <v>4927000</v>
      </c>
      <c r="H68" s="75">
        <f t="shared" si="108"/>
        <v>6336000</v>
      </c>
      <c r="I68" s="75">
        <f t="shared" si="108"/>
        <v>5412000</v>
      </c>
      <c r="J68" s="75">
        <f t="shared" si="108"/>
        <v>5023000</v>
      </c>
      <c r="K68" s="75">
        <f t="shared" si="108"/>
        <v>5680000</v>
      </c>
      <c r="L68" s="75">
        <f t="shared" si="108"/>
        <v>6062000</v>
      </c>
      <c r="M68" s="75">
        <f t="shared" si="108"/>
        <v>5905000</v>
      </c>
      <c r="N68" s="75">
        <f t="shared" si="108"/>
        <v>6220000</v>
      </c>
      <c r="O68" s="75">
        <f t="shared" si="108"/>
        <v>7737000</v>
      </c>
      <c r="P68" s="75">
        <f t="shared" si="108"/>
        <v>7903000</v>
      </c>
      <c r="Q68" s="75">
        <f t="shared" si="108"/>
        <v>7822000</v>
      </c>
      <c r="R68" s="75">
        <f t="shared" si="108"/>
        <v>7560000</v>
      </c>
      <c r="S68" s="75">
        <f t="shared" si="108"/>
        <v>6853000</v>
      </c>
      <c r="T68" s="75">
        <f t="shared" si="108"/>
        <v>7052000</v>
      </c>
      <c r="U68" s="75">
        <f t="shared" si="108"/>
        <v>6823000</v>
      </c>
      <c r="V68" s="75">
        <f t="shared" si="108"/>
        <v>7102000</v>
      </c>
      <c r="W68" s="75">
        <f t="shared" si="108"/>
        <v>7588000</v>
      </c>
      <c r="X68" s="75">
        <f t="shared" si="108"/>
        <v>7633000</v>
      </c>
      <c r="Y68" s="75">
        <f t="shared" si="108"/>
        <v>6734000</v>
      </c>
      <c r="Z68" s="75">
        <f t="shared" si="108"/>
        <v>5620000</v>
      </c>
      <c r="AA68" s="75">
        <f t="shared" si="108"/>
        <v>5129000</v>
      </c>
      <c r="AB68" s="20"/>
      <c r="AC68" s="20"/>
      <c r="AD68" s="20"/>
      <c r="AE68" s="21"/>
      <c r="AF68" s="21"/>
      <c r="AG68" s="21"/>
    </row>
    <row r="69" spans="1:33" x14ac:dyDescent="0.2">
      <c r="A69" s="72"/>
      <c r="N69" s="20"/>
      <c r="O69" s="20"/>
      <c r="P69" s="20"/>
      <c r="Q69" s="20"/>
      <c r="R69" s="20"/>
      <c r="S69" s="20"/>
      <c r="T69" s="20"/>
      <c r="U69" s="20"/>
      <c r="V69" s="20"/>
      <c r="W69" s="20"/>
      <c r="X69" s="20"/>
      <c r="Y69" s="20"/>
      <c r="Z69" s="20"/>
      <c r="AB69" s="20"/>
      <c r="AC69" s="20"/>
      <c r="AD69" s="20"/>
      <c r="AE69" s="21"/>
      <c r="AF69" s="21"/>
      <c r="AG69" s="21"/>
    </row>
    <row r="70" spans="1:33" x14ac:dyDescent="0.2">
      <c r="A70" s="72"/>
      <c r="N70" s="20"/>
      <c r="O70" s="20"/>
      <c r="P70" s="20"/>
      <c r="Q70" s="20"/>
      <c r="R70" s="20"/>
      <c r="S70" s="20"/>
      <c r="T70" s="20"/>
      <c r="U70" s="20"/>
      <c r="V70" s="20"/>
      <c r="W70" s="20"/>
      <c r="X70" s="20"/>
      <c r="Y70" s="20"/>
      <c r="Z70" s="20"/>
      <c r="AB70" s="20"/>
      <c r="AC70" s="20"/>
      <c r="AD70" s="20"/>
      <c r="AE70" s="21"/>
      <c r="AF70" s="21"/>
      <c r="AG70" s="21"/>
    </row>
    <row r="71" spans="1:33" x14ac:dyDescent="0.2">
      <c r="A71" s="3" t="s">
        <v>63</v>
      </c>
      <c r="B71" s="4">
        <f>B49-C49</f>
        <v>638000</v>
      </c>
      <c r="C71" s="4">
        <f t="shared" ref="C71:Z71" si="109">C49-D49</f>
        <v>8820000</v>
      </c>
      <c r="D71" s="4">
        <f t="shared" si="109"/>
        <v>31000</v>
      </c>
      <c r="E71" s="4">
        <f t="shared" si="109"/>
        <v>1823000</v>
      </c>
      <c r="F71" s="4">
        <f t="shared" si="109"/>
        <v>1965000</v>
      </c>
      <c r="G71" s="4">
        <f t="shared" si="109"/>
        <v>981000</v>
      </c>
      <c r="H71" s="4">
        <f t="shared" si="109"/>
        <v>415000</v>
      </c>
      <c r="I71" s="4">
        <f t="shared" si="109"/>
        <v>1570000</v>
      </c>
      <c r="J71" s="4">
        <f t="shared" si="109"/>
        <v>2052000</v>
      </c>
      <c r="K71" s="4">
        <f t="shared" si="109"/>
        <v>632000</v>
      </c>
      <c r="L71" s="4">
        <f t="shared" si="109"/>
        <v>1444000</v>
      </c>
      <c r="M71" s="4">
        <f t="shared" si="109"/>
        <v>1203000</v>
      </c>
      <c r="N71" s="4">
        <f t="shared" si="109"/>
        <v>1369000</v>
      </c>
      <c r="O71" s="4">
        <f t="shared" si="109"/>
        <v>-1409000</v>
      </c>
      <c r="P71" s="4">
        <f t="shared" si="109"/>
        <v>337000</v>
      </c>
      <c r="Q71" s="4">
        <f t="shared" si="109"/>
        <v>2305000</v>
      </c>
      <c r="R71" s="4">
        <f t="shared" si="109"/>
        <v>2812000</v>
      </c>
      <c r="S71" s="4">
        <f t="shared" si="109"/>
        <v>1956000</v>
      </c>
      <c r="T71" s="4">
        <f t="shared" si="109"/>
        <v>2895000</v>
      </c>
      <c r="U71" s="4">
        <f t="shared" si="109"/>
        <v>2318000</v>
      </c>
      <c r="V71" s="4">
        <f t="shared" si="109"/>
        <v>578000</v>
      </c>
      <c r="W71" s="4">
        <f t="shared" si="109"/>
        <v>1077000</v>
      </c>
      <c r="X71" s="4">
        <f t="shared" si="109"/>
        <v>1872000</v>
      </c>
      <c r="Y71" s="4">
        <f t="shared" si="109"/>
        <v>2372000</v>
      </c>
      <c r="Z71" s="4">
        <f t="shared" si="109"/>
        <v>1774000</v>
      </c>
    </row>
    <row r="72" spans="1:33" x14ac:dyDescent="0.2">
      <c r="A72" s="3"/>
      <c r="B72" s="4"/>
      <c r="C72" s="4"/>
      <c r="D72" s="4"/>
      <c r="E72" s="4"/>
      <c r="F72" s="4"/>
      <c r="G72" s="4"/>
      <c r="H72" s="4"/>
      <c r="I72" s="4"/>
      <c r="J72" s="4"/>
      <c r="K72" s="4"/>
      <c r="L72" s="4"/>
      <c r="M72" s="4"/>
      <c r="O72" s="4"/>
      <c r="P72" s="4"/>
      <c r="Q72" s="4"/>
      <c r="R72" s="4"/>
      <c r="S72" s="4"/>
      <c r="T72" s="4"/>
      <c r="U72" s="4"/>
      <c r="V72" s="4"/>
      <c r="W72" s="4"/>
      <c r="X72" s="4"/>
      <c r="Y72" s="4"/>
      <c r="Z72" s="4"/>
    </row>
    <row r="73" spans="1:33" x14ac:dyDescent="0.2">
      <c r="A73" s="3" t="s">
        <v>81</v>
      </c>
      <c r="B73" s="25">
        <f>SUM(B71:Z71)</f>
        <v>41830000</v>
      </c>
      <c r="C73" s="3"/>
      <c r="D73" s="3"/>
      <c r="E73" s="3"/>
      <c r="F73" s="3"/>
      <c r="G73" s="3"/>
      <c r="H73" s="3"/>
    </row>
    <row r="74" spans="1:33" x14ac:dyDescent="0.2">
      <c r="A74" s="3" t="s">
        <v>82</v>
      </c>
      <c r="B74" s="25">
        <f>B47-AA47</f>
        <v>45766000</v>
      </c>
      <c r="C74" s="3"/>
      <c r="D74" s="3"/>
      <c r="E74" s="3"/>
      <c r="F74" s="3"/>
      <c r="G74" s="3"/>
      <c r="H74" s="3"/>
    </row>
    <row r="75" spans="1:33" x14ac:dyDescent="0.2">
      <c r="A75" s="3" t="s">
        <v>83</v>
      </c>
      <c r="B75" s="19">
        <f>SUM(B59:AA59)</f>
        <v>684.67898093082329</v>
      </c>
    </row>
    <row r="76" spans="1:33" x14ac:dyDescent="0.2">
      <c r="O76" s="22"/>
    </row>
    <row r="77" spans="1:33" x14ac:dyDescent="0.2">
      <c r="N77" s="20"/>
      <c r="O77" s="22"/>
      <c r="Q77" s="5" t="s">
        <v>65</v>
      </c>
    </row>
    <row r="78" spans="1:33" x14ac:dyDescent="0.2">
      <c r="A78" s="83" t="s">
        <v>175</v>
      </c>
      <c r="B78" s="84" t="s">
        <v>173</v>
      </c>
      <c r="C78" s="84" t="s">
        <v>174</v>
      </c>
      <c r="D78" s="89"/>
    </row>
    <row r="79" spans="1:33" s="82" customFormat="1" x14ac:dyDescent="0.2">
      <c r="A79" s="3" t="s">
        <v>184</v>
      </c>
      <c r="B79" s="85"/>
      <c r="C79" s="85"/>
      <c r="N79" s="86"/>
      <c r="AA79" s="86"/>
    </row>
    <row r="80" spans="1:33" x14ac:dyDescent="0.2">
      <c r="A80" s="82" t="s">
        <v>177</v>
      </c>
      <c r="B80" s="87"/>
      <c r="C80" s="87"/>
    </row>
    <row r="81" spans="1:4" x14ac:dyDescent="0.2">
      <c r="A81" s="90" t="s">
        <v>178</v>
      </c>
      <c r="B81" s="91">
        <f>B6</f>
        <v>6078000</v>
      </c>
      <c r="C81" s="91">
        <v>2000000</v>
      </c>
      <c r="D81" s="82"/>
    </row>
    <row r="82" spans="1:4" x14ac:dyDescent="0.2">
      <c r="A82" s="90" t="s">
        <v>182</v>
      </c>
      <c r="B82" s="91">
        <f>B7</f>
        <v>30979000</v>
      </c>
      <c r="C82" s="91">
        <v>0</v>
      </c>
      <c r="D82" s="82"/>
    </row>
    <row r="83" spans="1:4" x14ac:dyDescent="0.2">
      <c r="A83" s="82" t="s">
        <v>179</v>
      </c>
      <c r="B83" s="4">
        <f>B8</f>
        <v>4114000</v>
      </c>
      <c r="C83" s="4">
        <f>B83</f>
        <v>4114000</v>
      </c>
    </row>
    <row r="84" spans="1:4" x14ac:dyDescent="0.2">
      <c r="A84" s="82" t="s">
        <v>180</v>
      </c>
      <c r="B84" s="4">
        <f>B11</f>
        <v>7940000</v>
      </c>
      <c r="C84" s="4">
        <f>B84</f>
        <v>7940000</v>
      </c>
    </row>
    <row r="85" spans="1:4" x14ac:dyDescent="0.2">
      <c r="A85" s="82" t="s">
        <v>181</v>
      </c>
      <c r="B85" s="4">
        <f>SUM(B12:B14)</f>
        <v>1378000</v>
      </c>
      <c r="C85" s="4">
        <f>B85</f>
        <v>1378000</v>
      </c>
    </row>
    <row r="86" spans="1:4" x14ac:dyDescent="0.2">
      <c r="A86" s="82" t="s">
        <v>176</v>
      </c>
      <c r="B86" s="88">
        <f>SUM(B81:B85)</f>
        <v>50489000</v>
      </c>
      <c r="C86" s="88">
        <f>SUM(C81:C85)</f>
        <v>15432000</v>
      </c>
    </row>
    <row r="87" spans="1:4" x14ac:dyDescent="0.2">
      <c r="A87" s="5" t="s">
        <v>25</v>
      </c>
      <c r="B87" s="4">
        <f>B17</f>
        <v>1782000</v>
      </c>
      <c r="C87" s="4">
        <f>B87</f>
        <v>1782000</v>
      </c>
    </row>
    <row r="88" spans="1:4" x14ac:dyDescent="0.2">
      <c r="A88" s="5" t="s">
        <v>38</v>
      </c>
      <c r="B88" s="4">
        <f>B18</f>
        <v>344000</v>
      </c>
      <c r="C88" s="4">
        <f>B88</f>
        <v>344000</v>
      </c>
    </row>
    <row r="89" spans="1:4" x14ac:dyDescent="0.2">
      <c r="A89" s="5" t="s">
        <v>26</v>
      </c>
      <c r="B89" s="4">
        <f>B19</f>
        <v>83000</v>
      </c>
      <c r="C89" s="4">
        <f>B89</f>
        <v>83000</v>
      </c>
    </row>
    <row r="90" spans="1:4" x14ac:dyDescent="0.2">
      <c r="A90" s="5" t="s">
        <v>80</v>
      </c>
      <c r="B90" s="4">
        <f>B22</f>
        <v>1271000</v>
      </c>
      <c r="C90" s="4">
        <f>B90</f>
        <v>1271000</v>
      </c>
    </row>
    <row r="91" spans="1:4" x14ac:dyDescent="0.2">
      <c r="A91" s="5" t="s">
        <v>31</v>
      </c>
      <c r="B91" s="4">
        <f>B23</f>
        <v>62000</v>
      </c>
      <c r="C91" s="4">
        <f>B91</f>
        <v>62000</v>
      </c>
    </row>
    <row r="92" spans="1:4" ht="17" thickBot="1" x14ac:dyDescent="0.25">
      <c r="A92" s="3" t="s">
        <v>183</v>
      </c>
      <c r="B92" s="13">
        <f>SUM(B86:B91)</f>
        <v>54031000</v>
      </c>
      <c r="C92" s="13">
        <f>SUM(C86:C91)</f>
        <v>18974000</v>
      </c>
    </row>
    <row r="93" spans="1:4" ht="17" thickTop="1" x14ac:dyDescent="0.2">
      <c r="A93" s="3" t="s">
        <v>185</v>
      </c>
      <c r="B93" s="4"/>
      <c r="C93" s="4"/>
    </row>
    <row r="94" spans="1:4" x14ac:dyDescent="0.2">
      <c r="A94" s="82" t="s">
        <v>186</v>
      </c>
      <c r="B94" s="4"/>
      <c r="C94" s="4"/>
    </row>
    <row r="95" spans="1:4" x14ac:dyDescent="0.2">
      <c r="A95" s="3" t="s">
        <v>76</v>
      </c>
      <c r="B95" s="4">
        <f>B28</f>
        <v>320000</v>
      </c>
      <c r="C95" s="4">
        <f>B95</f>
        <v>320000</v>
      </c>
    </row>
    <row r="96" spans="1:4" x14ac:dyDescent="0.2">
      <c r="A96" s="5" t="s">
        <v>29</v>
      </c>
      <c r="B96" s="4">
        <f>B30</f>
        <v>2296000</v>
      </c>
      <c r="C96" s="4">
        <f>B96</f>
        <v>2296000</v>
      </c>
      <c r="D96" s="82"/>
    </row>
    <row r="97" spans="1:4" x14ac:dyDescent="0.2">
      <c r="A97" s="5" t="s">
        <v>35</v>
      </c>
      <c r="B97" s="4">
        <f>B31</f>
        <v>277000</v>
      </c>
      <c r="C97" s="4">
        <f>B97</f>
        <v>277000</v>
      </c>
    </row>
    <row r="98" spans="1:4" x14ac:dyDescent="0.2">
      <c r="A98" s="3" t="s">
        <v>77</v>
      </c>
      <c r="B98" s="4">
        <f>B34</f>
        <v>354000</v>
      </c>
      <c r="C98" s="4">
        <f>B98</f>
        <v>354000</v>
      </c>
    </row>
    <row r="99" spans="1:4" x14ac:dyDescent="0.2">
      <c r="A99" s="82" t="s">
        <v>187</v>
      </c>
      <c r="B99" s="88">
        <f>SUM(B95:B98)</f>
        <v>3247000</v>
      </c>
      <c r="C99" s="88">
        <f>SUM(C95:C98)</f>
        <v>3247000</v>
      </c>
    </row>
    <row r="100" spans="1:4" x14ac:dyDescent="0.2">
      <c r="A100" s="90" t="s">
        <v>190</v>
      </c>
      <c r="B100" s="91">
        <f>B40</f>
        <v>1742000</v>
      </c>
      <c r="C100" s="91">
        <f>B100-1807000</f>
        <v>-65000</v>
      </c>
      <c r="D100" s="82"/>
    </row>
    <row r="101" spans="1:4" x14ac:dyDescent="0.2">
      <c r="A101" s="82" t="s">
        <v>188</v>
      </c>
      <c r="B101" s="88">
        <f>SUM(B99:B100)</f>
        <v>4989000</v>
      </c>
      <c r="C101" s="88">
        <f>SUM(C99:C100)</f>
        <v>3182000</v>
      </c>
    </row>
    <row r="102" spans="1:4" x14ac:dyDescent="0.2">
      <c r="A102" s="90" t="s">
        <v>161</v>
      </c>
      <c r="B102" s="91">
        <f>SUM(B43:B48)</f>
        <v>49042000</v>
      </c>
      <c r="C102" s="91">
        <f>C92-C101</f>
        <v>15792000</v>
      </c>
    </row>
    <row r="103" spans="1:4" ht="17" thickBot="1" x14ac:dyDescent="0.25">
      <c r="A103" s="3" t="s">
        <v>189</v>
      </c>
      <c r="B103" s="13">
        <f>SUM(B101:B102)</f>
        <v>54031000</v>
      </c>
      <c r="C103" s="13">
        <f>SUM(C101:C102)</f>
        <v>18974000</v>
      </c>
    </row>
    <row r="104" spans="1:4" ht="17" thickTop="1" x14ac:dyDescent="0.2">
      <c r="B104" s="4"/>
      <c r="C104" s="4"/>
    </row>
    <row r="105" spans="1:4" x14ac:dyDescent="0.2">
      <c r="B105" s="4"/>
      <c r="C105" s="4"/>
    </row>
    <row r="106" spans="1:4" x14ac:dyDescent="0.2">
      <c r="B106" s="4"/>
      <c r="C106" s="4"/>
    </row>
    <row r="107" spans="1:4" x14ac:dyDescent="0.2">
      <c r="B107" s="4"/>
      <c r="C107" s="4"/>
    </row>
    <row r="108" spans="1:4" x14ac:dyDescent="0.2">
      <c r="B108" s="4"/>
      <c r="C108" s="4"/>
    </row>
    <row r="109" spans="1:4" x14ac:dyDescent="0.2">
      <c r="B109" s="4"/>
      <c r="C109" s="4"/>
    </row>
    <row r="110" spans="1:4" x14ac:dyDescent="0.2">
      <c r="B110" s="4"/>
      <c r="C110" s="4"/>
    </row>
    <row r="111" spans="1:4" x14ac:dyDescent="0.2">
      <c r="B111" s="4"/>
      <c r="C111" s="4"/>
    </row>
    <row r="112" spans="1:4" x14ac:dyDescent="0.2">
      <c r="B112" s="4"/>
      <c r="C112" s="4"/>
    </row>
    <row r="113" spans="2:3" x14ac:dyDescent="0.2">
      <c r="B113" s="4"/>
      <c r="C113" s="4"/>
    </row>
    <row r="114" spans="2:3" x14ac:dyDescent="0.2">
      <c r="B114" s="4"/>
      <c r="C114" s="4"/>
    </row>
    <row r="115" spans="2:3" x14ac:dyDescent="0.2">
      <c r="B115" s="4"/>
      <c r="C115" s="4"/>
    </row>
    <row r="116" spans="2:3" x14ac:dyDescent="0.2">
      <c r="B116" s="4"/>
      <c r="C116" s="4"/>
    </row>
    <row r="117" spans="2:3" x14ac:dyDescent="0.2">
      <c r="B117" s="4"/>
      <c r="C117" s="4"/>
    </row>
    <row r="118" spans="2:3" x14ac:dyDescent="0.2">
      <c r="B118" s="4"/>
      <c r="C118" s="4"/>
    </row>
    <row r="119" spans="2:3" x14ac:dyDescent="0.2">
      <c r="B119" s="4"/>
      <c r="C119" s="4"/>
    </row>
    <row r="120" spans="2:3" x14ac:dyDescent="0.2">
      <c r="B120" s="4"/>
      <c r="C120" s="4"/>
    </row>
    <row r="121" spans="2:3" x14ac:dyDescent="0.2">
      <c r="B121" s="4"/>
      <c r="C121" s="4"/>
    </row>
    <row r="122" spans="2:3" x14ac:dyDescent="0.2">
      <c r="B122" s="4"/>
      <c r="C122" s="4"/>
    </row>
    <row r="123" spans="2:3" x14ac:dyDescent="0.2">
      <c r="B123" s="4"/>
      <c r="C123" s="4"/>
    </row>
    <row r="124" spans="2:3" x14ac:dyDescent="0.2">
      <c r="B124" s="4"/>
      <c r="C124" s="4"/>
    </row>
    <row r="125" spans="2:3" x14ac:dyDescent="0.2">
      <c r="B125" s="4"/>
      <c r="C125" s="4"/>
    </row>
    <row r="126" spans="2:3" x14ac:dyDescent="0.2">
      <c r="B126" s="4"/>
      <c r="C126" s="4"/>
    </row>
    <row r="127" spans="2:3" x14ac:dyDescent="0.2">
      <c r="B127" s="4"/>
      <c r="C127" s="4"/>
    </row>
    <row r="128" spans="2:3" x14ac:dyDescent="0.2">
      <c r="B128" s="4"/>
      <c r="C128" s="4"/>
    </row>
    <row r="129" spans="2:3" x14ac:dyDescent="0.2">
      <c r="B129" s="4"/>
      <c r="C129" s="4"/>
    </row>
    <row r="130" spans="2:3" x14ac:dyDescent="0.2">
      <c r="B130" s="4"/>
      <c r="C130" s="4"/>
    </row>
    <row r="131" spans="2:3" x14ac:dyDescent="0.2">
      <c r="B131" s="4"/>
      <c r="C131" s="4"/>
    </row>
    <row r="132" spans="2:3" x14ac:dyDescent="0.2">
      <c r="B132" s="4"/>
      <c r="C132" s="4"/>
    </row>
    <row r="133" spans="2:3" x14ac:dyDescent="0.2">
      <c r="B133" s="4"/>
      <c r="C133" s="4"/>
    </row>
    <row r="134" spans="2:3" x14ac:dyDescent="0.2">
      <c r="B134" s="4"/>
      <c r="C134" s="4"/>
    </row>
    <row r="135" spans="2:3" x14ac:dyDescent="0.2">
      <c r="B135" s="4"/>
      <c r="C135" s="4"/>
    </row>
    <row r="136" spans="2:3" x14ac:dyDescent="0.2">
      <c r="B136" s="4"/>
      <c r="C136" s="4"/>
    </row>
    <row r="137" spans="2:3" x14ac:dyDescent="0.2">
      <c r="B137" s="4"/>
      <c r="C137" s="4"/>
    </row>
    <row r="138" spans="2:3" x14ac:dyDescent="0.2">
      <c r="B138" s="4"/>
      <c r="C138" s="4"/>
    </row>
    <row r="139" spans="2:3" x14ac:dyDescent="0.2">
      <c r="B139" s="4"/>
      <c r="C139" s="4"/>
    </row>
  </sheetData>
  <pageMargins left="0.7" right="0.7" top="0.75" bottom="0.75" header="0.3" footer="0.3"/>
  <pageSetup orientation="portrait" r:id="rId1"/>
  <ignoredErrors>
    <ignoredError sqref="B85" formulaRange="1"/>
    <ignoredError sqref="B102:C102 C8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9"/>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9.1640625" defaultRowHeight="16" x14ac:dyDescent="0.2"/>
  <cols>
    <col min="1" max="1" width="45.33203125" style="27" customWidth="1"/>
    <col min="2" max="13" width="11.83203125" style="27" customWidth="1"/>
    <col min="14" max="14" width="11.83203125" style="26" customWidth="1"/>
    <col min="15" max="28" width="11.83203125" style="27" customWidth="1"/>
    <col min="29" max="37" width="11" style="27" customWidth="1"/>
    <col min="38" max="16384" width="9.1640625" style="27"/>
  </cols>
  <sheetData>
    <row r="1" spans="1:40" ht="19" x14ac:dyDescent="0.25">
      <c r="A1" s="52" t="s">
        <v>90</v>
      </c>
      <c r="B1" s="28"/>
      <c r="C1" s="28"/>
      <c r="D1" s="28"/>
      <c r="E1" s="28"/>
      <c r="F1" s="28"/>
      <c r="G1" s="28"/>
      <c r="H1" s="28"/>
      <c r="I1" s="28"/>
      <c r="J1" s="28"/>
      <c r="K1" s="28"/>
      <c r="L1" s="28"/>
      <c r="M1" s="28"/>
    </row>
    <row r="2" spans="1:40" x14ac:dyDescent="0.2">
      <c r="A2" s="43" t="s">
        <v>75</v>
      </c>
      <c r="B2" s="43"/>
      <c r="C2" s="43"/>
      <c r="D2" s="43"/>
      <c r="E2" s="43"/>
      <c r="F2" s="43"/>
      <c r="G2" s="43"/>
      <c r="H2" s="43"/>
      <c r="I2" s="43"/>
      <c r="J2" s="43"/>
      <c r="K2" s="43"/>
      <c r="L2" s="43"/>
      <c r="M2" s="43"/>
    </row>
    <row r="3" spans="1:40" x14ac:dyDescent="0.2">
      <c r="A3" s="43" t="s">
        <v>66</v>
      </c>
      <c r="B3" s="43"/>
      <c r="C3" s="43"/>
      <c r="D3" s="43"/>
      <c r="E3" s="43"/>
      <c r="F3" s="43"/>
      <c r="G3" s="43"/>
      <c r="H3" s="43"/>
      <c r="I3" s="43"/>
      <c r="J3" s="43"/>
      <c r="K3" s="43"/>
      <c r="L3" s="43"/>
      <c r="M3" s="43"/>
    </row>
    <row r="4" spans="1:40" x14ac:dyDescent="0.2">
      <c r="A4" s="46"/>
      <c r="B4" s="100" t="s">
        <v>84</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40" s="28" customFormat="1" x14ac:dyDescent="0.2">
      <c r="A5" s="42"/>
      <c r="B5" s="44">
        <v>44681</v>
      </c>
      <c r="C5" s="44">
        <v>44316</v>
      </c>
      <c r="D5" s="44">
        <v>43951</v>
      </c>
      <c r="E5" s="44">
        <v>43585</v>
      </c>
      <c r="F5" s="44">
        <v>43220</v>
      </c>
      <c r="G5" s="44">
        <v>42855</v>
      </c>
      <c r="H5" s="44">
        <v>42490</v>
      </c>
      <c r="I5" s="44">
        <v>42124</v>
      </c>
      <c r="J5" s="44">
        <v>41759</v>
      </c>
      <c r="K5" s="44">
        <v>41394</v>
      </c>
      <c r="L5" s="44">
        <v>41029</v>
      </c>
      <c r="M5" s="45">
        <v>40663</v>
      </c>
      <c r="N5" s="45">
        <v>40298</v>
      </c>
      <c r="O5" s="44">
        <v>39933</v>
      </c>
      <c r="P5" s="44">
        <v>39568</v>
      </c>
      <c r="Q5" s="44">
        <v>39202</v>
      </c>
      <c r="R5" s="44">
        <v>38837</v>
      </c>
      <c r="S5" s="44">
        <v>38472</v>
      </c>
      <c r="T5" s="44">
        <v>38107</v>
      </c>
      <c r="U5" s="44">
        <v>37741</v>
      </c>
      <c r="V5" s="44">
        <v>37376</v>
      </c>
      <c r="W5" s="44">
        <v>37011</v>
      </c>
      <c r="X5" s="44">
        <v>36646</v>
      </c>
      <c r="Y5" s="44">
        <v>36280</v>
      </c>
      <c r="Z5" s="44">
        <v>35915</v>
      </c>
      <c r="AA5" s="44">
        <v>35550</v>
      </c>
      <c r="AB5" s="44">
        <v>35185</v>
      </c>
      <c r="AC5" s="29"/>
      <c r="AD5" s="29"/>
      <c r="AE5" s="29"/>
      <c r="AF5" s="29"/>
      <c r="AG5" s="29"/>
      <c r="AH5" s="29"/>
      <c r="AI5" s="29"/>
      <c r="AJ5" s="29"/>
      <c r="AK5" s="29"/>
      <c r="AL5" s="29"/>
      <c r="AM5" s="29"/>
      <c r="AN5" s="29"/>
    </row>
    <row r="6" spans="1:40" x14ac:dyDescent="0.2">
      <c r="A6" s="28" t="s">
        <v>40</v>
      </c>
      <c r="B6" s="36">
        <v>20735000</v>
      </c>
      <c r="C6" s="36">
        <v>18505000</v>
      </c>
      <c r="D6" s="36">
        <v>14809000</v>
      </c>
      <c r="E6" s="36">
        <v>14126000</v>
      </c>
      <c r="F6" s="36">
        <v>11931000</v>
      </c>
      <c r="G6" s="36">
        <v>10904000</v>
      </c>
      <c r="H6" s="36">
        <v>11240000</v>
      </c>
      <c r="I6" s="36">
        <v>11903000</v>
      </c>
      <c r="J6" s="36">
        <v>11025000</v>
      </c>
      <c r="K6" s="36">
        <v>10510000</v>
      </c>
      <c r="L6" s="36">
        <v>10285000</v>
      </c>
      <c r="M6" s="36">
        <v>8858000</v>
      </c>
      <c r="N6" s="36">
        <v>7821000</v>
      </c>
      <c r="O6" s="37">
        <v>8822000</v>
      </c>
      <c r="P6" s="37">
        <v>11444000</v>
      </c>
      <c r="Q6" s="37">
        <v>13419000</v>
      </c>
      <c r="R6" s="37">
        <v>14254000</v>
      </c>
      <c r="S6" s="37">
        <v>13113000</v>
      </c>
      <c r="T6" s="37">
        <v>12783000</v>
      </c>
      <c r="U6" s="38">
        <v>12895000</v>
      </c>
      <c r="V6" s="38">
        <v>12831000</v>
      </c>
      <c r="W6" s="38">
        <v>13914000</v>
      </c>
      <c r="X6" s="38">
        <v>13485000</v>
      </c>
      <c r="Y6" s="38">
        <v>13078000</v>
      </c>
      <c r="Z6" s="38">
        <v>11508000</v>
      </c>
      <c r="AA6" s="38">
        <v>11059000</v>
      </c>
      <c r="AB6" s="38">
        <v>9615000</v>
      </c>
      <c r="AC6" s="30"/>
      <c r="AD6" s="30"/>
      <c r="AE6" s="30"/>
      <c r="AF6" s="30"/>
      <c r="AG6" s="30"/>
      <c r="AH6" s="30"/>
      <c r="AI6" s="31"/>
      <c r="AJ6" s="31"/>
      <c r="AK6" s="31"/>
      <c r="AL6" s="31"/>
    </row>
    <row r="7" spans="1:40" x14ac:dyDescent="0.2">
      <c r="A7" s="27" t="s">
        <v>41</v>
      </c>
      <c r="B7" s="26">
        <v>10720000</v>
      </c>
      <c r="C7" s="26">
        <v>9176000</v>
      </c>
      <c r="D7" s="26">
        <v>7404000</v>
      </c>
      <c r="E7" s="26">
        <v>7326000</v>
      </c>
      <c r="F7" s="26">
        <v>6316000</v>
      </c>
      <c r="G7" s="26">
        <v>5224000</v>
      </c>
      <c r="H7" s="26">
        <v>4977000</v>
      </c>
      <c r="I7" s="26">
        <v>5466000</v>
      </c>
      <c r="J7" s="26">
        <v>4902000</v>
      </c>
      <c r="K7" s="26">
        <v>5089000</v>
      </c>
      <c r="L7" s="26">
        <v>4760000</v>
      </c>
      <c r="M7" s="26">
        <v>4667000</v>
      </c>
      <c r="N7" s="26">
        <v>4324000</v>
      </c>
      <c r="O7" s="30">
        <v>4646000</v>
      </c>
      <c r="P7" s="30">
        <v>5755000</v>
      </c>
      <c r="Q7" s="30">
        <v>6506000</v>
      </c>
      <c r="R7" s="30">
        <v>6788000</v>
      </c>
      <c r="S7" s="30">
        <v>6230000</v>
      </c>
      <c r="T7" s="30">
        <v>6190000</v>
      </c>
      <c r="U7" s="26">
        <v>6327000</v>
      </c>
      <c r="V7" s="26">
        <v>6626000</v>
      </c>
      <c r="W7" s="26">
        <v>7321000</v>
      </c>
      <c r="X7" s="26">
        <v>6842000</v>
      </c>
      <c r="Y7" s="26">
        <v>6870000</v>
      </c>
      <c r="Z7" s="26">
        <v>6089000</v>
      </c>
      <c r="AA7" s="26">
        <v>5798000</v>
      </c>
      <c r="AB7" s="26">
        <v>4881000</v>
      </c>
      <c r="AC7" s="30"/>
      <c r="AD7" s="30"/>
      <c r="AE7" s="30"/>
      <c r="AF7" s="30"/>
      <c r="AG7" s="30"/>
      <c r="AH7" s="30"/>
      <c r="AI7" s="31"/>
      <c r="AJ7" s="31"/>
      <c r="AK7" s="31"/>
      <c r="AL7" s="31"/>
    </row>
    <row r="8" spans="1:40" x14ac:dyDescent="0.2">
      <c r="A8" s="27" t="s">
        <v>16</v>
      </c>
      <c r="B8" s="32">
        <f t="shared" ref="B8:L8" si="0">B6-B7</f>
        <v>10015000</v>
      </c>
      <c r="C8" s="32">
        <f t="shared" si="0"/>
        <v>9329000</v>
      </c>
      <c r="D8" s="32">
        <f t="shared" si="0"/>
        <v>7405000</v>
      </c>
      <c r="E8" s="32">
        <f t="shared" si="0"/>
        <v>6800000</v>
      </c>
      <c r="F8" s="32">
        <f t="shared" si="0"/>
        <v>5615000</v>
      </c>
      <c r="G8" s="32">
        <f t="shared" si="0"/>
        <v>5680000</v>
      </c>
      <c r="H8" s="32">
        <f t="shared" si="0"/>
        <v>6263000</v>
      </c>
      <c r="I8" s="32">
        <f t="shared" si="0"/>
        <v>6437000</v>
      </c>
      <c r="J8" s="32">
        <f t="shared" si="0"/>
        <v>6123000</v>
      </c>
      <c r="K8" s="32">
        <f t="shared" si="0"/>
        <v>5421000</v>
      </c>
      <c r="L8" s="32">
        <f t="shared" si="0"/>
        <v>5525000</v>
      </c>
      <c r="M8" s="32">
        <f>M6-M7</f>
        <v>4191000</v>
      </c>
      <c r="N8" s="32">
        <f>N6-N7</f>
        <v>3497000</v>
      </c>
      <c r="O8" s="33">
        <f>O6-O7</f>
        <v>4176000</v>
      </c>
      <c r="P8" s="33">
        <f t="shared" ref="P8:AA8" si="1">P6-P7</f>
        <v>5689000</v>
      </c>
      <c r="Q8" s="33">
        <f t="shared" si="1"/>
        <v>6913000</v>
      </c>
      <c r="R8" s="33">
        <f t="shared" si="1"/>
        <v>7466000</v>
      </c>
      <c r="S8" s="33">
        <f t="shared" si="1"/>
        <v>6883000</v>
      </c>
      <c r="T8" s="33">
        <f t="shared" si="1"/>
        <v>6593000</v>
      </c>
      <c r="U8" s="32">
        <f t="shared" si="1"/>
        <v>6568000</v>
      </c>
      <c r="V8" s="32">
        <f t="shared" si="1"/>
        <v>6205000</v>
      </c>
      <c r="W8" s="32">
        <f t="shared" si="1"/>
        <v>6593000</v>
      </c>
      <c r="X8" s="32">
        <f t="shared" si="1"/>
        <v>6643000</v>
      </c>
      <c r="Y8" s="32">
        <f t="shared" si="1"/>
        <v>6208000</v>
      </c>
      <c r="Z8" s="32">
        <f t="shared" si="1"/>
        <v>5419000</v>
      </c>
      <c r="AA8" s="32">
        <f t="shared" si="1"/>
        <v>5261000</v>
      </c>
      <c r="AB8" s="32">
        <f t="shared" ref="AB8" si="2">AB6-AB7</f>
        <v>4734000</v>
      </c>
      <c r="AC8" s="30"/>
      <c r="AD8" s="30"/>
      <c r="AE8" s="30"/>
      <c r="AF8" s="30"/>
      <c r="AG8" s="30"/>
      <c r="AH8" s="30"/>
      <c r="AI8" s="31"/>
      <c r="AJ8" s="31"/>
      <c r="AK8" s="31"/>
      <c r="AL8" s="31"/>
    </row>
    <row r="9" spans="1:40" x14ac:dyDescent="0.2">
      <c r="A9" s="27" t="s">
        <v>42</v>
      </c>
      <c r="B9" s="26"/>
      <c r="C9" s="26"/>
      <c r="D9" s="26"/>
      <c r="E9" s="26"/>
      <c r="F9" s="26"/>
      <c r="G9" s="26"/>
      <c r="H9" s="26"/>
      <c r="I9" s="26"/>
      <c r="J9" s="26"/>
      <c r="K9" s="26"/>
      <c r="L9" s="26"/>
      <c r="M9" s="26"/>
      <c r="O9" s="30"/>
      <c r="P9" s="30"/>
      <c r="Q9" s="30"/>
      <c r="R9" s="30"/>
      <c r="S9" s="30"/>
      <c r="T9" s="30"/>
      <c r="U9" s="26"/>
      <c r="V9" s="26"/>
      <c r="W9" s="26"/>
      <c r="X9" s="26"/>
      <c r="Y9" s="26"/>
      <c r="Z9" s="26"/>
      <c r="AA9" s="26"/>
      <c r="AB9" s="26"/>
      <c r="AC9" s="30"/>
      <c r="AD9" s="30"/>
      <c r="AE9" s="30"/>
      <c r="AF9" s="30"/>
      <c r="AG9" s="30"/>
      <c r="AH9" s="30"/>
      <c r="AI9" s="31"/>
      <c r="AJ9" s="31"/>
      <c r="AK9" s="31"/>
      <c r="AL9" s="31"/>
    </row>
    <row r="10" spans="1:40" x14ac:dyDescent="0.2">
      <c r="A10" s="27" t="s">
        <v>43</v>
      </c>
      <c r="B10" s="26">
        <v>1426000</v>
      </c>
      <c r="C10" s="26">
        <v>1443000</v>
      </c>
      <c r="D10" s="26">
        <v>1304000</v>
      </c>
      <c r="E10" s="26">
        <v>1235000</v>
      </c>
      <c r="F10" s="26">
        <v>1127000</v>
      </c>
      <c r="G10" s="26">
        <v>914000</v>
      </c>
      <c r="H10" s="26">
        <v>853000</v>
      </c>
      <c r="I10" s="26">
        <v>817000</v>
      </c>
      <c r="J10" s="26">
        <v>728000</v>
      </c>
      <c r="K10" s="26">
        <v>790000</v>
      </c>
      <c r="L10" s="26">
        <v>776000</v>
      </c>
      <c r="M10" s="26">
        <v>754000</v>
      </c>
      <c r="N10" s="26">
        <v>719000</v>
      </c>
      <c r="O10" s="30">
        <v>748000</v>
      </c>
      <c r="P10" s="30">
        <v>735000</v>
      </c>
      <c r="Q10" s="30">
        <v>689000</v>
      </c>
      <c r="R10" s="30">
        <v>724000</v>
      </c>
      <c r="S10" s="30">
        <v>719000</v>
      </c>
      <c r="T10" s="30">
        <v>693000</v>
      </c>
      <c r="U10" s="26">
        <v>689000</v>
      </c>
      <c r="V10" s="26">
        <v>749000</v>
      </c>
      <c r="W10" s="26">
        <v>783000</v>
      </c>
      <c r="X10" s="26">
        <v>769000</v>
      </c>
      <c r="Y10" s="26">
        <v>676000</v>
      </c>
      <c r="Z10" s="26">
        <v>584000</v>
      </c>
      <c r="AA10" s="26">
        <v>578000</v>
      </c>
      <c r="AB10" s="26">
        <v>582000</v>
      </c>
      <c r="AC10" s="30"/>
      <c r="AD10" s="30"/>
      <c r="AE10" s="30"/>
      <c r="AF10" s="30"/>
      <c r="AG10" s="30"/>
      <c r="AH10" s="30"/>
      <c r="AI10" s="31"/>
      <c r="AJ10" s="31"/>
      <c r="AK10" s="31"/>
      <c r="AL10" s="31"/>
    </row>
    <row r="11" spans="1:40" x14ac:dyDescent="0.2">
      <c r="A11" s="27" t="s">
        <v>44</v>
      </c>
      <c r="B11" s="26">
        <v>2857000</v>
      </c>
      <c r="C11" s="26">
        <v>2479000</v>
      </c>
      <c r="D11" s="26">
        <v>2278000</v>
      </c>
      <c r="E11" s="26">
        <v>2167000</v>
      </c>
      <c r="F11" s="26">
        <v>1888000</v>
      </c>
      <c r="G11" s="26">
        <v>1892000</v>
      </c>
      <c r="H11" s="26">
        <v>1937000</v>
      </c>
      <c r="I11" s="26">
        <v>1960000</v>
      </c>
      <c r="J11" s="26">
        <v>1806000</v>
      </c>
      <c r="K11" s="26">
        <v>1821000</v>
      </c>
      <c r="L11" s="26">
        <v>1612000</v>
      </c>
      <c r="M11" s="26">
        <v>1552000</v>
      </c>
      <c r="N11" s="26">
        <v>1575000</v>
      </c>
      <c r="O11" s="30">
        <v>1813000</v>
      </c>
      <c r="P11" s="30">
        <v>2016000</v>
      </c>
      <c r="Q11" s="30">
        <v>2443000</v>
      </c>
      <c r="R11" s="30">
        <v>2512000</v>
      </c>
      <c r="S11" s="30">
        <v>2403000</v>
      </c>
      <c r="T11" s="30">
        <v>2351000</v>
      </c>
      <c r="U11" s="26">
        <v>2409000</v>
      </c>
      <c r="V11" s="26">
        <v>2556000</v>
      </c>
      <c r="W11" s="26">
        <v>2546000</v>
      </c>
      <c r="X11" s="26">
        <v>2432000</v>
      </c>
      <c r="Y11" s="26">
        <v>2457000</v>
      </c>
      <c r="Z11" s="26">
        <v>2071000</v>
      </c>
      <c r="AA11" s="26">
        <v>2120000</v>
      </c>
      <c r="AB11" s="26">
        <v>2001000</v>
      </c>
      <c r="AC11" s="30"/>
      <c r="AD11" s="30"/>
      <c r="AE11" s="30"/>
      <c r="AF11" s="30"/>
      <c r="AG11" s="30"/>
      <c r="AH11" s="30"/>
      <c r="AI11" s="31"/>
      <c r="AJ11" s="31"/>
      <c r="AK11" s="31"/>
      <c r="AL11" s="31"/>
    </row>
    <row r="12" spans="1:40" x14ac:dyDescent="0.2">
      <c r="A12" s="27" t="s">
        <v>45</v>
      </c>
      <c r="B12" s="26">
        <v>84000</v>
      </c>
      <c r="C12" s="26">
        <v>101000</v>
      </c>
      <c r="D12" s="26">
        <v>86000</v>
      </c>
      <c r="E12" s="26">
        <v>74000</v>
      </c>
      <c r="F12" s="26">
        <v>90000</v>
      </c>
      <c r="G12" s="26">
        <v>73000</v>
      </c>
      <c r="H12" s="26">
        <v>92000</v>
      </c>
      <c r="I12" s="26">
        <v>87000</v>
      </c>
      <c r="J12" s="26">
        <v>56000</v>
      </c>
      <c r="K12" s="26">
        <v>71000</v>
      </c>
      <c r="L12" s="26">
        <v>54000</v>
      </c>
      <c r="M12" s="26">
        <v>74000</v>
      </c>
      <c r="N12" s="26">
        <v>63000</v>
      </c>
      <c r="O12" s="30">
        <v>79000</v>
      </c>
      <c r="P12" s="30">
        <v>72000</v>
      </c>
      <c r="Q12" s="30">
        <v>69000</v>
      </c>
      <c r="R12" s="30">
        <v>79000</v>
      </c>
      <c r="S12" s="30">
        <v>75000</v>
      </c>
      <c r="T12" s="30">
        <v>71000</v>
      </c>
      <c r="U12" s="26">
        <v>62000</v>
      </c>
      <c r="V12" s="26">
        <v>73000</v>
      </c>
      <c r="W12" s="26">
        <v>93000</v>
      </c>
      <c r="X12" s="26">
        <v>163000</v>
      </c>
      <c r="Y12" s="26">
        <v>81000</v>
      </c>
      <c r="Z12" s="26">
        <v>82000</v>
      </c>
      <c r="AA12" s="26">
        <v>18000</v>
      </c>
      <c r="AB12" s="26">
        <v>57000</v>
      </c>
      <c r="AC12" s="30"/>
      <c r="AD12" s="30"/>
      <c r="AE12" s="30"/>
      <c r="AF12" s="30"/>
      <c r="AG12" s="30"/>
      <c r="AH12" s="30"/>
      <c r="AI12" s="31"/>
      <c r="AJ12" s="31"/>
      <c r="AK12" s="31"/>
      <c r="AL12" s="31"/>
    </row>
    <row r="13" spans="1:40" x14ac:dyDescent="0.2">
      <c r="A13" s="27" t="s">
        <v>46</v>
      </c>
      <c r="B13" s="26">
        <v>0</v>
      </c>
      <c r="C13" s="26">
        <v>0</v>
      </c>
      <c r="D13" s="26">
        <v>7000</v>
      </c>
      <c r="E13" s="26">
        <v>18000</v>
      </c>
      <c r="F13" s="26">
        <v>18000</v>
      </c>
      <c r="G13" s="26">
        <v>18000</v>
      </c>
      <c r="H13" s="26">
        <v>19000</v>
      </c>
      <c r="I13" s="26">
        <v>19000</v>
      </c>
      <c r="J13" s="26">
        <v>19000</v>
      </c>
      <c r="K13" s="26">
        <v>41000</v>
      </c>
      <c r="L13" s="26">
        <v>46000</v>
      </c>
      <c r="M13" s="26">
        <v>46000</v>
      </c>
      <c r="N13" s="26">
        <v>46000</v>
      </c>
      <c r="O13" s="30">
        <v>51000</v>
      </c>
      <c r="P13" s="30">
        <v>53000</v>
      </c>
      <c r="Q13" s="30">
        <v>53000</v>
      </c>
      <c r="R13" s="30">
        <v>52000</v>
      </c>
      <c r="S13" s="30">
        <v>49000</v>
      </c>
      <c r="T13" s="30">
        <v>49000</v>
      </c>
      <c r="U13" s="26">
        <v>49000</v>
      </c>
      <c r="V13" s="26">
        <v>58000</v>
      </c>
      <c r="W13" s="26">
        <v>56000</v>
      </c>
      <c r="X13" s="26">
        <v>58000</v>
      </c>
      <c r="Y13" s="26">
        <v>50000</v>
      </c>
      <c r="Z13" s="26">
        <v>51000</v>
      </c>
      <c r="AA13" s="26">
        <v>35000</v>
      </c>
      <c r="AB13" s="26">
        <v>85000</v>
      </c>
      <c r="AC13" s="30"/>
      <c r="AD13" s="30"/>
      <c r="AE13" s="30"/>
      <c r="AF13" s="30"/>
      <c r="AG13" s="30"/>
      <c r="AH13" s="30"/>
      <c r="AI13" s="31"/>
      <c r="AJ13" s="31"/>
      <c r="AK13" s="31"/>
      <c r="AL13" s="31"/>
    </row>
    <row r="14" spans="1:40" x14ac:dyDescent="0.2">
      <c r="A14" s="27" t="s">
        <v>47</v>
      </c>
      <c r="B14" s="32">
        <f t="shared" ref="B14:L14" si="3">SUM(B10:B13)</f>
        <v>4367000</v>
      </c>
      <c r="C14" s="32">
        <f t="shared" si="3"/>
        <v>4023000</v>
      </c>
      <c r="D14" s="32">
        <f t="shared" si="3"/>
        <v>3675000</v>
      </c>
      <c r="E14" s="32">
        <f t="shared" si="3"/>
        <v>3494000</v>
      </c>
      <c r="F14" s="32">
        <f t="shared" si="3"/>
        <v>3123000</v>
      </c>
      <c r="G14" s="32">
        <f t="shared" si="3"/>
        <v>2897000</v>
      </c>
      <c r="H14" s="32">
        <f t="shared" si="3"/>
        <v>2901000</v>
      </c>
      <c r="I14" s="32">
        <f t="shared" si="3"/>
        <v>2883000</v>
      </c>
      <c r="J14" s="32">
        <f t="shared" si="3"/>
        <v>2609000</v>
      </c>
      <c r="K14" s="32">
        <f t="shared" si="3"/>
        <v>2723000</v>
      </c>
      <c r="L14" s="32">
        <f t="shared" si="3"/>
        <v>2488000</v>
      </c>
      <c r="M14" s="32">
        <f>SUM(M10:M13)</f>
        <v>2426000</v>
      </c>
      <c r="N14" s="32">
        <f>SUM(N10:N13)</f>
        <v>2403000</v>
      </c>
      <c r="O14" s="33">
        <f>SUM(O10:O13)</f>
        <v>2691000</v>
      </c>
      <c r="P14" s="33">
        <f t="shared" ref="P14:AA14" si="4">SUM(P10:P13)</f>
        <v>2876000</v>
      </c>
      <c r="Q14" s="33">
        <f t="shared" si="4"/>
        <v>3254000</v>
      </c>
      <c r="R14" s="33">
        <f t="shared" si="4"/>
        <v>3367000</v>
      </c>
      <c r="S14" s="33">
        <f t="shared" si="4"/>
        <v>3246000</v>
      </c>
      <c r="T14" s="33">
        <f t="shared" si="4"/>
        <v>3164000</v>
      </c>
      <c r="U14" s="32">
        <f t="shared" si="4"/>
        <v>3209000</v>
      </c>
      <c r="V14" s="32">
        <f t="shared" si="4"/>
        <v>3436000</v>
      </c>
      <c r="W14" s="32">
        <f t="shared" si="4"/>
        <v>3478000</v>
      </c>
      <c r="X14" s="32">
        <f t="shared" si="4"/>
        <v>3422000</v>
      </c>
      <c r="Y14" s="32">
        <f t="shared" si="4"/>
        <v>3264000</v>
      </c>
      <c r="Z14" s="32">
        <f t="shared" si="4"/>
        <v>2788000</v>
      </c>
      <c r="AA14" s="32">
        <f t="shared" si="4"/>
        <v>2751000</v>
      </c>
      <c r="AB14" s="32">
        <f t="shared" ref="AB14" si="5">SUM(AB10:AB13)</f>
        <v>2725000</v>
      </c>
      <c r="AC14" s="30"/>
      <c r="AD14" s="30"/>
      <c r="AE14" s="30"/>
      <c r="AF14" s="30"/>
      <c r="AG14" s="30"/>
      <c r="AH14" s="30"/>
    </row>
    <row r="15" spans="1:40" x14ac:dyDescent="0.2">
      <c r="A15" s="27" t="s">
        <v>48</v>
      </c>
      <c r="B15" s="26">
        <f t="shared" ref="B15:AB15" si="6">B8-B14</f>
        <v>5648000</v>
      </c>
      <c r="C15" s="26">
        <f t="shared" si="6"/>
        <v>5306000</v>
      </c>
      <c r="D15" s="26">
        <f t="shared" si="6"/>
        <v>3730000</v>
      </c>
      <c r="E15" s="26">
        <f t="shared" si="6"/>
        <v>3306000</v>
      </c>
      <c r="F15" s="26">
        <f t="shared" si="6"/>
        <v>2492000</v>
      </c>
      <c r="G15" s="26">
        <f t="shared" si="6"/>
        <v>2783000</v>
      </c>
      <c r="H15" s="26">
        <f t="shared" si="6"/>
        <v>3362000</v>
      </c>
      <c r="I15" s="26">
        <f t="shared" si="6"/>
        <v>3554000</v>
      </c>
      <c r="J15" s="26">
        <f t="shared" si="6"/>
        <v>3514000</v>
      </c>
      <c r="K15" s="26">
        <f t="shared" si="6"/>
        <v>2698000</v>
      </c>
      <c r="L15" s="26">
        <f t="shared" si="6"/>
        <v>3037000</v>
      </c>
      <c r="M15" s="26">
        <f t="shared" si="6"/>
        <v>1765000</v>
      </c>
      <c r="N15" s="26">
        <f t="shared" si="6"/>
        <v>1094000</v>
      </c>
      <c r="O15" s="30">
        <f t="shared" si="6"/>
        <v>1485000</v>
      </c>
      <c r="P15" s="30">
        <f t="shared" si="6"/>
        <v>2813000</v>
      </c>
      <c r="Q15" s="30">
        <f t="shared" si="6"/>
        <v>3659000</v>
      </c>
      <c r="R15" s="30">
        <f t="shared" si="6"/>
        <v>4099000</v>
      </c>
      <c r="S15" s="30">
        <f t="shared" si="6"/>
        <v>3637000</v>
      </c>
      <c r="T15" s="30">
        <f t="shared" si="6"/>
        <v>3429000</v>
      </c>
      <c r="U15" s="26">
        <f t="shared" si="6"/>
        <v>3359000</v>
      </c>
      <c r="V15" s="26">
        <f t="shared" si="6"/>
        <v>2769000</v>
      </c>
      <c r="W15" s="26">
        <f t="shared" si="6"/>
        <v>3115000</v>
      </c>
      <c r="X15" s="26">
        <f t="shared" si="6"/>
        <v>3221000</v>
      </c>
      <c r="Y15" s="26">
        <f t="shared" si="6"/>
        <v>2944000</v>
      </c>
      <c r="Z15" s="26">
        <f t="shared" si="6"/>
        <v>2631000</v>
      </c>
      <c r="AA15" s="26">
        <f t="shared" si="6"/>
        <v>2510000</v>
      </c>
      <c r="AB15" s="26">
        <f t="shared" si="6"/>
        <v>2009000</v>
      </c>
      <c r="AC15" s="30"/>
      <c r="AD15" s="30"/>
      <c r="AE15" s="30"/>
      <c r="AF15" s="30"/>
      <c r="AG15" s="30"/>
      <c r="AH15" s="30"/>
    </row>
    <row r="16" spans="1:40" x14ac:dyDescent="0.2">
      <c r="A16" s="27" t="s">
        <v>50</v>
      </c>
      <c r="B16" s="26"/>
      <c r="C16" s="26"/>
      <c r="D16" s="26"/>
      <c r="E16" s="26"/>
      <c r="F16" s="26"/>
      <c r="G16" s="26"/>
      <c r="H16" s="26"/>
      <c r="I16" s="26"/>
      <c r="J16" s="26"/>
      <c r="K16" s="26"/>
      <c r="L16" s="26"/>
      <c r="M16" s="26"/>
      <c r="O16" s="30"/>
      <c r="P16" s="30"/>
      <c r="Q16" s="30"/>
      <c r="R16" s="30"/>
      <c r="S16" s="30"/>
      <c r="T16" s="30"/>
      <c r="U16" s="26"/>
      <c r="V16" s="26"/>
      <c r="W16" s="26"/>
      <c r="X16" s="26"/>
      <c r="Y16" s="26"/>
      <c r="Z16" s="26"/>
      <c r="AA16" s="26"/>
      <c r="AB16" s="26"/>
      <c r="AC16" s="30"/>
      <c r="AD16" s="30"/>
      <c r="AE16" s="30"/>
      <c r="AF16" s="30"/>
      <c r="AG16" s="30"/>
      <c r="AH16" s="30"/>
    </row>
    <row r="17" spans="1:34" x14ac:dyDescent="0.2">
      <c r="A17" s="27" t="s">
        <v>51</v>
      </c>
      <c r="B17" s="26">
        <v>16000</v>
      </c>
      <c r="C17" s="26">
        <v>1009000</v>
      </c>
      <c r="D17" s="26">
        <v>3000</v>
      </c>
      <c r="E17" s="26">
        <v>11000</v>
      </c>
      <c r="F17" s="26">
        <v>-112000</v>
      </c>
      <c r="G17" s="26">
        <v>11000</v>
      </c>
      <c r="H17" s="26">
        <v>16000</v>
      </c>
      <c r="I17" s="26">
        <v>5000</v>
      </c>
      <c r="J17" s="26">
        <v>0</v>
      </c>
      <c r="K17" s="26">
        <v>4000</v>
      </c>
      <c r="L17" s="26">
        <v>19000</v>
      </c>
      <c r="M17" s="26">
        <v>9000</v>
      </c>
      <c r="N17" s="26">
        <v>142000</v>
      </c>
      <c r="O17" s="30">
        <v>58000</v>
      </c>
      <c r="P17" s="30">
        <v>33000</v>
      </c>
      <c r="Q17" s="30">
        <v>7000</v>
      </c>
      <c r="R17" s="30">
        <v>30000</v>
      </c>
      <c r="S17" s="30">
        <v>2000</v>
      </c>
      <c r="T17" s="30">
        <v>79000</v>
      </c>
      <c r="U17" s="26">
        <v>11000</v>
      </c>
      <c r="V17" s="26">
        <v>37000</v>
      </c>
      <c r="W17" s="26">
        <v>-20000</v>
      </c>
      <c r="X17" s="26">
        <v>90000</v>
      </c>
      <c r="Y17" s="26">
        <v>-17000</v>
      </c>
      <c r="Z17" s="26">
        <v>30000</v>
      </c>
      <c r="AA17" s="26">
        <v>-25000</v>
      </c>
      <c r="AB17" s="26">
        <v>42000</v>
      </c>
      <c r="AC17" s="30"/>
      <c r="AD17" s="30"/>
      <c r="AE17" s="30"/>
      <c r="AF17" s="30"/>
      <c r="AG17" s="30"/>
      <c r="AH17" s="30"/>
    </row>
    <row r="18" spans="1:34" x14ac:dyDescent="0.2">
      <c r="A18" s="27" t="s">
        <v>52</v>
      </c>
      <c r="B18" s="26">
        <v>0</v>
      </c>
      <c r="C18" s="26">
        <v>0</v>
      </c>
      <c r="D18" s="26">
        <v>-1000</v>
      </c>
      <c r="E18" s="26">
        <v>-1000</v>
      </c>
      <c r="F18" s="26">
        <v>0</v>
      </c>
      <c r="G18" s="26">
        <v>0</v>
      </c>
      <c r="H18" s="26">
        <v>0</v>
      </c>
      <c r="I18" s="26">
        <v>-3000</v>
      </c>
      <c r="J18" s="26">
        <v>-8000</v>
      </c>
      <c r="K18" s="26">
        <v>-3000</v>
      </c>
      <c r="L18" s="26">
        <v>0</v>
      </c>
      <c r="M18" s="26">
        <v>0</v>
      </c>
      <c r="N18" s="26">
        <v>0</v>
      </c>
      <c r="O18" s="30">
        <v>-2000</v>
      </c>
      <c r="P18" s="30">
        <v>-6000</v>
      </c>
      <c r="Q18" s="30">
        <v>0</v>
      </c>
      <c r="R18" s="30">
        <v>0</v>
      </c>
      <c r="S18" s="30">
        <v>0</v>
      </c>
      <c r="T18" s="30">
        <v>0</v>
      </c>
      <c r="U18" s="26">
        <v>0</v>
      </c>
      <c r="V18" s="26">
        <v>-1000</v>
      </c>
      <c r="W18" s="26">
        <v>-1000</v>
      </c>
      <c r="X18" s="26">
        <v>-9000</v>
      </c>
      <c r="Y18" s="26">
        <v>-21000</v>
      </c>
      <c r="Z18" s="26">
        <v>-26000</v>
      </c>
      <c r="AA18" s="26">
        <v>-35000</v>
      </c>
      <c r="AB18" s="26">
        <v>-30000</v>
      </c>
      <c r="AC18" s="30"/>
      <c r="AD18" s="30"/>
      <c r="AE18" s="30"/>
      <c r="AF18" s="30"/>
      <c r="AG18" s="30"/>
      <c r="AH18" s="30"/>
    </row>
    <row r="19" spans="1:34" x14ac:dyDescent="0.2">
      <c r="A19" s="27" t="s">
        <v>53</v>
      </c>
      <c r="B19" s="26">
        <v>1027000</v>
      </c>
      <c r="C19" s="26">
        <v>757000</v>
      </c>
      <c r="D19" s="26">
        <v>931000</v>
      </c>
      <c r="E19" s="26">
        <v>981000</v>
      </c>
      <c r="F19" s="26">
        <v>960000</v>
      </c>
      <c r="G19" s="26">
        <v>774000</v>
      </c>
      <c r="H19" s="26">
        <v>867000</v>
      </c>
      <c r="I19" s="26">
        <v>820000</v>
      </c>
      <c r="J19" s="26">
        <v>668000</v>
      </c>
      <c r="K19" s="26">
        <v>789000</v>
      </c>
      <c r="L19" s="26">
        <v>735000</v>
      </c>
      <c r="M19" s="26">
        <v>666000</v>
      </c>
      <c r="N19" s="26">
        <v>712000</v>
      </c>
      <c r="O19" s="30">
        <v>768000</v>
      </c>
      <c r="P19" s="30">
        <v>845000</v>
      </c>
      <c r="Q19" s="30">
        <v>689000</v>
      </c>
      <c r="R19" s="30">
        <v>440000</v>
      </c>
      <c r="S19" s="30">
        <v>357000</v>
      </c>
      <c r="T19" s="30">
        <v>348000</v>
      </c>
      <c r="U19" s="26">
        <v>302000</v>
      </c>
      <c r="V19" s="26">
        <v>392000</v>
      </c>
      <c r="W19" s="26">
        <v>349000</v>
      </c>
      <c r="X19" s="26">
        <v>294000</v>
      </c>
      <c r="Y19" s="26">
        <v>271000</v>
      </c>
      <c r="Z19" s="26">
        <v>261000</v>
      </c>
      <c r="AA19" s="26">
        <v>191000</v>
      </c>
      <c r="AB19" s="26">
        <v>151000</v>
      </c>
      <c r="AC19" s="30"/>
      <c r="AD19" s="30"/>
      <c r="AE19" s="30"/>
      <c r="AF19" s="30"/>
      <c r="AG19" s="30"/>
      <c r="AH19" s="30"/>
    </row>
    <row r="20" spans="1:34" x14ac:dyDescent="0.2">
      <c r="A20" s="27" t="s">
        <v>88</v>
      </c>
      <c r="B20" s="26">
        <v>-2764000</v>
      </c>
      <c r="C20" s="26">
        <v>7007000</v>
      </c>
      <c r="D20" s="26">
        <v>-1619000</v>
      </c>
      <c r="E20" s="26">
        <v>444000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30"/>
      <c r="AD20" s="30"/>
      <c r="AE20" s="30"/>
      <c r="AF20" s="30"/>
      <c r="AG20" s="30"/>
      <c r="AH20" s="30"/>
    </row>
    <row r="21" spans="1:34" x14ac:dyDescent="0.2">
      <c r="A21" s="27" t="s">
        <v>89</v>
      </c>
      <c r="B21" s="26">
        <v>414000</v>
      </c>
      <c r="C21" s="26">
        <v>363000</v>
      </c>
      <c r="D21" s="26">
        <v>-384000</v>
      </c>
      <c r="E21" s="26">
        <v>61000</v>
      </c>
      <c r="F21" s="26">
        <v>200000</v>
      </c>
      <c r="G21" s="26">
        <v>-40000</v>
      </c>
      <c r="H21" s="26">
        <v>72000</v>
      </c>
      <c r="I21" s="26">
        <v>304000</v>
      </c>
      <c r="J21" s="26">
        <v>384000</v>
      </c>
      <c r="K21" s="26">
        <v>460000</v>
      </c>
      <c r="L21" s="26">
        <v>51000</v>
      </c>
      <c r="M21" s="26">
        <v>168000</v>
      </c>
      <c r="N21" s="26">
        <v>277000</v>
      </c>
      <c r="O21" s="30">
        <v>-1374000</v>
      </c>
      <c r="P21" s="30">
        <v>-163000</v>
      </c>
      <c r="Q21" s="30">
        <v>188000</v>
      </c>
      <c r="R21" s="30">
        <v>-353000</v>
      </c>
      <c r="S21" s="30">
        <v>-89000</v>
      </c>
      <c r="T21" s="30">
        <v>40000</v>
      </c>
      <c r="U21" s="26">
        <v>-59000</v>
      </c>
      <c r="V21" s="26">
        <v>-209000</v>
      </c>
      <c r="W21" s="26">
        <v>101000</v>
      </c>
      <c r="X21" s="26">
        <v>-45000</v>
      </c>
      <c r="Y21" s="26">
        <v>126000</v>
      </c>
      <c r="Z21" s="26">
        <v>-20000</v>
      </c>
      <c r="AA21" s="26">
        <v>9000</v>
      </c>
      <c r="AB21" s="26">
        <v>5000</v>
      </c>
      <c r="AC21" s="30"/>
      <c r="AD21" s="30"/>
      <c r="AE21" s="30"/>
      <c r="AF21" s="30"/>
      <c r="AG21" s="30"/>
      <c r="AH21" s="30"/>
    </row>
    <row r="22" spans="1:34" x14ac:dyDescent="0.2">
      <c r="A22" s="27" t="s">
        <v>61</v>
      </c>
      <c r="B22" s="26">
        <v>0</v>
      </c>
      <c r="C22" s="26">
        <v>4000</v>
      </c>
      <c r="D22" s="26">
        <v>5000</v>
      </c>
      <c r="E22" s="26">
        <v>-10000</v>
      </c>
      <c r="F22" s="26">
        <v>6000</v>
      </c>
      <c r="G22" s="26">
        <v>0</v>
      </c>
      <c r="H22" s="26">
        <v>0</v>
      </c>
      <c r="I22" s="26">
        <v>5000</v>
      </c>
      <c r="J22" s="26">
        <v>11000</v>
      </c>
      <c r="K22" s="26">
        <v>0</v>
      </c>
      <c r="L22" s="26">
        <v>12000</v>
      </c>
      <c r="M22" s="26">
        <v>0</v>
      </c>
      <c r="N22" s="26">
        <v>7000</v>
      </c>
      <c r="O22" s="30">
        <v>0</v>
      </c>
      <c r="P22" s="30">
        <v>15000</v>
      </c>
      <c r="Q22" s="30">
        <v>0</v>
      </c>
      <c r="R22" s="30">
        <v>0</v>
      </c>
      <c r="S22" s="30"/>
      <c r="T22" s="30"/>
      <c r="U22" s="26"/>
      <c r="V22" s="26"/>
      <c r="W22" s="26"/>
      <c r="X22" s="26"/>
      <c r="Y22" s="26"/>
      <c r="Z22" s="26"/>
      <c r="AA22" s="26"/>
      <c r="AB22" s="26"/>
      <c r="AC22" s="30"/>
      <c r="AD22" s="30"/>
      <c r="AE22" s="30"/>
      <c r="AF22" s="30"/>
      <c r="AG22" s="30"/>
      <c r="AH22" s="30"/>
    </row>
    <row r="23" spans="1:34" x14ac:dyDescent="0.2">
      <c r="A23" s="27" t="s">
        <v>86</v>
      </c>
      <c r="B23" s="32">
        <f t="shared" ref="B23:L23" si="7">SUM(B17:B22)</f>
        <v>-1307000</v>
      </c>
      <c r="C23" s="32">
        <f t="shared" si="7"/>
        <v>9140000</v>
      </c>
      <c r="D23" s="32">
        <f t="shared" si="7"/>
        <v>-1065000</v>
      </c>
      <c r="E23" s="32">
        <f t="shared" si="7"/>
        <v>1486000</v>
      </c>
      <c r="F23" s="32">
        <f t="shared" si="7"/>
        <v>1054000</v>
      </c>
      <c r="G23" s="32">
        <f t="shared" si="7"/>
        <v>745000</v>
      </c>
      <c r="H23" s="32">
        <f t="shared" si="7"/>
        <v>955000</v>
      </c>
      <c r="I23" s="32">
        <f t="shared" si="7"/>
        <v>1131000</v>
      </c>
      <c r="J23" s="32">
        <f t="shared" si="7"/>
        <v>1055000</v>
      </c>
      <c r="K23" s="32">
        <f t="shared" si="7"/>
        <v>1250000</v>
      </c>
      <c r="L23" s="32">
        <f t="shared" si="7"/>
        <v>817000</v>
      </c>
      <c r="M23" s="32">
        <f>SUM(M17:M22)</f>
        <v>843000</v>
      </c>
      <c r="N23" s="32">
        <f>SUM(N17:N22)</f>
        <v>1138000</v>
      </c>
      <c r="O23" s="33">
        <f>SUM(O17:O22)</f>
        <v>-550000</v>
      </c>
      <c r="P23" s="33">
        <f t="shared" ref="P23:AA23" si="8">SUM(P17:P22)</f>
        <v>724000</v>
      </c>
      <c r="Q23" s="33">
        <f t="shared" si="8"/>
        <v>884000</v>
      </c>
      <c r="R23" s="33">
        <f t="shared" si="8"/>
        <v>117000</v>
      </c>
      <c r="S23" s="33">
        <f t="shared" si="8"/>
        <v>270000</v>
      </c>
      <c r="T23" s="33">
        <f t="shared" si="8"/>
        <v>467000</v>
      </c>
      <c r="U23" s="32">
        <f t="shared" si="8"/>
        <v>254000</v>
      </c>
      <c r="V23" s="32">
        <f t="shared" si="8"/>
        <v>219000</v>
      </c>
      <c r="W23" s="32">
        <f t="shared" si="8"/>
        <v>429000</v>
      </c>
      <c r="X23" s="32">
        <f t="shared" si="8"/>
        <v>330000</v>
      </c>
      <c r="Y23" s="32">
        <f t="shared" si="8"/>
        <v>359000</v>
      </c>
      <c r="Z23" s="32">
        <f t="shared" si="8"/>
        <v>245000</v>
      </c>
      <c r="AA23" s="32">
        <f t="shared" si="8"/>
        <v>140000</v>
      </c>
      <c r="AB23" s="32">
        <f t="shared" ref="AB23" si="9">SUM(AB17:AB22)</f>
        <v>168000</v>
      </c>
      <c r="AC23" s="30"/>
      <c r="AD23" s="30"/>
      <c r="AE23" s="30"/>
      <c r="AF23" s="30"/>
      <c r="AG23" s="30"/>
      <c r="AH23" s="30"/>
    </row>
    <row r="24" spans="1:34" s="48" customFormat="1" x14ac:dyDescent="0.2">
      <c r="A24" s="27" t="s">
        <v>54</v>
      </c>
      <c r="B24" s="32">
        <f t="shared" ref="B24:AB24" si="10">B15+B23</f>
        <v>4341000</v>
      </c>
      <c r="C24" s="32">
        <f t="shared" si="10"/>
        <v>14446000</v>
      </c>
      <c r="D24" s="32">
        <f t="shared" si="10"/>
        <v>2665000</v>
      </c>
      <c r="E24" s="32">
        <f t="shared" si="10"/>
        <v>4792000</v>
      </c>
      <c r="F24" s="32">
        <f t="shared" si="10"/>
        <v>3546000</v>
      </c>
      <c r="G24" s="32">
        <f t="shared" si="10"/>
        <v>3528000</v>
      </c>
      <c r="H24" s="32">
        <f t="shared" si="10"/>
        <v>4317000</v>
      </c>
      <c r="I24" s="32">
        <f t="shared" si="10"/>
        <v>4685000</v>
      </c>
      <c r="J24" s="32">
        <f t="shared" si="10"/>
        <v>4569000</v>
      </c>
      <c r="K24" s="32">
        <f t="shared" si="10"/>
        <v>3948000</v>
      </c>
      <c r="L24" s="32">
        <f t="shared" si="10"/>
        <v>3854000</v>
      </c>
      <c r="M24" s="32">
        <f t="shared" si="10"/>
        <v>2608000</v>
      </c>
      <c r="N24" s="32">
        <f t="shared" si="10"/>
        <v>2232000</v>
      </c>
      <c r="O24" s="33">
        <f t="shared" si="10"/>
        <v>935000</v>
      </c>
      <c r="P24" s="33">
        <f t="shared" si="10"/>
        <v>3537000</v>
      </c>
      <c r="Q24" s="33">
        <f t="shared" si="10"/>
        <v>4543000</v>
      </c>
      <c r="R24" s="33">
        <f t="shared" si="10"/>
        <v>4216000</v>
      </c>
      <c r="S24" s="33">
        <f t="shared" si="10"/>
        <v>3907000</v>
      </c>
      <c r="T24" s="33">
        <f t="shared" si="10"/>
        <v>3896000</v>
      </c>
      <c r="U24" s="32">
        <f t="shared" si="10"/>
        <v>3613000</v>
      </c>
      <c r="V24" s="32">
        <f t="shared" si="10"/>
        <v>2988000</v>
      </c>
      <c r="W24" s="32">
        <f t="shared" si="10"/>
        <v>3544000</v>
      </c>
      <c r="X24" s="32">
        <f t="shared" si="10"/>
        <v>3551000</v>
      </c>
      <c r="Y24" s="32">
        <f t="shared" si="10"/>
        <v>3303000</v>
      </c>
      <c r="Z24" s="32">
        <f t="shared" si="10"/>
        <v>2876000</v>
      </c>
      <c r="AA24" s="32">
        <f t="shared" si="10"/>
        <v>2650000</v>
      </c>
      <c r="AB24" s="32">
        <f t="shared" si="10"/>
        <v>2177000</v>
      </c>
      <c r="AC24" s="33"/>
      <c r="AD24" s="33"/>
      <c r="AE24" s="33"/>
      <c r="AF24" s="33"/>
      <c r="AG24" s="33"/>
      <c r="AH24" s="33"/>
    </row>
    <row r="25" spans="1:34" x14ac:dyDescent="0.2">
      <c r="A25" s="27" t="s">
        <v>55</v>
      </c>
      <c r="B25" s="26"/>
      <c r="C25" s="26"/>
      <c r="D25" s="26"/>
      <c r="E25" s="26"/>
      <c r="F25" s="26"/>
      <c r="G25" s="26"/>
      <c r="H25" s="26"/>
      <c r="I25" s="26"/>
      <c r="J25" s="26"/>
      <c r="K25" s="26"/>
      <c r="L25" s="26"/>
      <c r="M25" s="26"/>
      <c r="O25" s="30"/>
      <c r="P25" s="30"/>
      <c r="Q25" s="30"/>
      <c r="R25" s="30"/>
      <c r="S25" s="30"/>
      <c r="T25" s="30"/>
      <c r="U25" s="26"/>
      <c r="V25" s="26"/>
      <c r="W25" s="26"/>
      <c r="X25" s="26"/>
      <c r="Y25" s="26"/>
      <c r="Z25" s="26"/>
      <c r="AA25" s="26"/>
      <c r="AB25" s="26"/>
      <c r="AC25" s="30"/>
      <c r="AD25" s="30"/>
      <c r="AE25" s="30"/>
      <c r="AF25" s="30"/>
      <c r="AG25" s="30"/>
      <c r="AH25" s="30"/>
    </row>
    <row r="26" spans="1:34" x14ac:dyDescent="0.2">
      <c r="A26" s="27" t="s">
        <v>56</v>
      </c>
      <c r="B26" s="26">
        <v>1669000</v>
      </c>
      <c r="C26" s="26">
        <v>1636000</v>
      </c>
      <c r="D26" s="26">
        <v>1056000</v>
      </c>
      <c r="E26" s="26">
        <v>1024000</v>
      </c>
      <c r="F26" s="26">
        <v>972000</v>
      </c>
      <c r="G26" s="26">
        <v>1140000</v>
      </c>
      <c r="H26" s="26">
        <v>1252000</v>
      </c>
      <c r="I26" s="26">
        <v>1474000</v>
      </c>
      <c r="J26" s="26">
        <v>1488000</v>
      </c>
      <c r="K26" s="26">
        <v>1000000</v>
      </c>
      <c r="L26" s="26">
        <v>1087000</v>
      </c>
      <c r="M26" s="26">
        <v>696000</v>
      </c>
      <c r="N26" s="26">
        <v>525000</v>
      </c>
      <c r="O26" s="30">
        <v>661000</v>
      </c>
      <c r="P26" s="30">
        <v>1235000</v>
      </c>
      <c r="Q26" s="30">
        <v>1483000</v>
      </c>
      <c r="R26" s="30">
        <v>1620000</v>
      </c>
      <c r="S26" s="30">
        <v>1428000</v>
      </c>
      <c r="T26" s="30">
        <v>1439000</v>
      </c>
      <c r="U26" s="26">
        <v>1389000</v>
      </c>
      <c r="V26" s="26">
        <v>1132000</v>
      </c>
      <c r="W26" s="26">
        <v>1328000</v>
      </c>
      <c r="X26" s="26">
        <v>1366000</v>
      </c>
      <c r="Y26" s="26">
        <v>1117000</v>
      </c>
      <c r="Z26" s="26">
        <v>1006000</v>
      </c>
      <c r="AA26" s="26">
        <v>1036000</v>
      </c>
      <c r="AB26" s="26">
        <v>936000</v>
      </c>
      <c r="AC26" s="30"/>
      <c r="AD26" s="30"/>
      <c r="AE26" s="30"/>
      <c r="AF26" s="30"/>
      <c r="AG26" s="30"/>
      <c r="AH26" s="30"/>
    </row>
    <row r="27" spans="1:34" x14ac:dyDescent="0.2">
      <c r="A27" s="27" t="s">
        <v>57</v>
      </c>
      <c r="B27" s="26">
        <v>-894000</v>
      </c>
      <c r="C27" s="26">
        <v>1988000</v>
      </c>
      <c r="D27" s="26">
        <v>-495000</v>
      </c>
      <c r="E27" s="26">
        <v>170000</v>
      </c>
      <c r="F27" s="26">
        <v>28000</v>
      </c>
      <c r="G27" s="26">
        <v>-13000</v>
      </c>
      <c r="H27" s="26">
        <v>-21000</v>
      </c>
      <c r="I27" s="26">
        <v>59000</v>
      </c>
      <c r="J27" s="26">
        <v>-41000</v>
      </c>
      <c r="K27" s="26">
        <v>227000</v>
      </c>
      <c r="L27" s="26">
        <v>119000</v>
      </c>
      <c r="M27" s="26">
        <v>-114000</v>
      </c>
      <c r="N27" s="26">
        <v>165000</v>
      </c>
      <c r="O27" s="30">
        <v>-242000</v>
      </c>
      <c r="P27" s="30">
        <v>37000</v>
      </c>
      <c r="Q27" s="30">
        <v>79000</v>
      </c>
      <c r="R27" s="30">
        <v>-136000</v>
      </c>
      <c r="S27" s="30">
        <v>-36000</v>
      </c>
      <c r="T27" s="30">
        <v>46000</v>
      </c>
      <c r="U27" s="26">
        <v>-61000</v>
      </c>
      <c r="V27" s="26">
        <v>0</v>
      </c>
      <c r="W27" s="26">
        <v>-9000</v>
      </c>
      <c r="X27" s="26">
        <v>-2000</v>
      </c>
      <c r="Y27" s="26">
        <v>13000</v>
      </c>
      <c r="Z27" s="26">
        <v>6000</v>
      </c>
      <c r="AA27" s="26">
        <v>-35000</v>
      </c>
      <c r="AB27" s="26">
        <v>-21000</v>
      </c>
      <c r="AC27" s="30"/>
      <c r="AD27" s="30"/>
      <c r="AE27" s="30"/>
      <c r="AF27" s="30"/>
      <c r="AG27" s="30"/>
      <c r="AH27" s="30"/>
    </row>
    <row r="28" spans="1:34" x14ac:dyDescent="0.2">
      <c r="A28" s="27" t="s">
        <v>58</v>
      </c>
      <c r="B28" s="49">
        <f t="shared" ref="B28:L28" si="11">SUM(B26:B27)</f>
        <v>775000</v>
      </c>
      <c r="C28" s="49">
        <f t="shared" si="11"/>
        <v>3624000</v>
      </c>
      <c r="D28" s="49">
        <f t="shared" si="11"/>
        <v>561000</v>
      </c>
      <c r="E28" s="49">
        <f t="shared" si="11"/>
        <v>1194000</v>
      </c>
      <c r="F28" s="49">
        <f t="shared" si="11"/>
        <v>1000000</v>
      </c>
      <c r="G28" s="49">
        <f t="shared" si="11"/>
        <v>1127000</v>
      </c>
      <c r="H28" s="49">
        <f t="shared" si="11"/>
        <v>1231000</v>
      </c>
      <c r="I28" s="49">
        <f t="shared" si="11"/>
        <v>1533000</v>
      </c>
      <c r="J28" s="49">
        <f t="shared" si="11"/>
        <v>1447000</v>
      </c>
      <c r="K28" s="49">
        <f t="shared" si="11"/>
        <v>1227000</v>
      </c>
      <c r="L28" s="49">
        <f t="shared" si="11"/>
        <v>1206000</v>
      </c>
      <c r="M28" s="49">
        <f t="shared" ref="M28:AA28" si="12">SUM(M26:M27)</f>
        <v>582000</v>
      </c>
      <c r="N28" s="49">
        <f t="shared" si="12"/>
        <v>690000</v>
      </c>
      <c r="O28" s="49">
        <f t="shared" si="12"/>
        <v>419000</v>
      </c>
      <c r="P28" s="49">
        <f t="shared" si="12"/>
        <v>1272000</v>
      </c>
      <c r="Q28" s="49">
        <f t="shared" si="12"/>
        <v>1562000</v>
      </c>
      <c r="R28" s="49">
        <f t="shared" si="12"/>
        <v>1484000</v>
      </c>
      <c r="S28" s="49">
        <f t="shared" si="12"/>
        <v>1392000</v>
      </c>
      <c r="T28" s="49">
        <f t="shared" si="12"/>
        <v>1485000</v>
      </c>
      <c r="U28" s="50">
        <f t="shared" si="12"/>
        <v>1328000</v>
      </c>
      <c r="V28" s="50">
        <f t="shared" si="12"/>
        <v>1132000</v>
      </c>
      <c r="W28" s="50">
        <f t="shared" si="12"/>
        <v>1319000</v>
      </c>
      <c r="X28" s="50">
        <f t="shared" si="12"/>
        <v>1364000</v>
      </c>
      <c r="Y28" s="50">
        <f t="shared" si="12"/>
        <v>1130000</v>
      </c>
      <c r="Z28" s="50">
        <f t="shared" si="12"/>
        <v>1012000</v>
      </c>
      <c r="AA28" s="50">
        <f t="shared" si="12"/>
        <v>1001000</v>
      </c>
      <c r="AB28" s="50">
        <f t="shared" ref="AB28" si="13">SUM(AB26:AB27)</f>
        <v>915000</v>
      </c>
      <c r="AC28" s="30"/>
      <c r="AD28" s="30"/>
      <c r="AE28" s="30"/>
      <c r="AF28" s="30"/>
      <c r="AG28" s="30"/>
      <c r="AH28" s="30"/>
    </row>
    <row r="29" spans="1:34" s="28" customFormat="1" ht="17" thickBot="1" x14ac:dyDescent="0.25">
      <c r="A29" s="28" t="s">
        <v>18</v>
      </c>
      <c r="B29" s="47">
        <f t="shared" ref="B29:AB29" si="14">B24-B28</f>
        <v>3566000</v>
      </c>
      <c r="C29" s="47">
        <f t="shared" si="14"/>
        <v>10822000</v>
      </c>
      <c r="D29" s="47">
        <f t="shared" si="14"/>
        <v>2104000</v>
      </c>
      <c r="E29" s="47">
        <f t="shared" si="14"/>
        <v>3598000</v>
      </c>
      <c r="F29" s="47">
        <f t="shared" si="14"/>
        <v>2546000</v>
      </c>
      <c r="G29" s="47">
        <f t="shared" si="14"/>
        <v>2401000</v>
      </c>
      <c r="H29" s="47">
        <f t="shared" si="14"/>
        <v>3086000</v>
      </c>
      <c r="I29" s="47">
        <f t="shared" si="14"/>
        <v>3152000</v>
      </c>
      <c r="J29" s="47">
        <f t="shared" si="14"/>
        <v>3122000</v>
      </c>
      <c r="K29" s="47">
        <f t="shared" si="14"/>
        <v>2721000</v>
      </c>
      <c r="L29" s="47">
        <f t="shared" si="14"/>
        <v>2648000</v>
      </c>
      <c r="M29" s="47">
        <f t="shared" si="14"/>
        <v>2026000</v>
      </c>
      <c r="N29" s="47">
        <f t="shared" si="14"/>
        <v>1542000</v>
      </c>
      <c r="O29" s="47">
        <f t="shared" si="14"/>
        <v>516000</v>
      </c>
      <c r="P29" s="47">
        <f t="shared" si="14"/>
        <v>2265000</v>
      </c>
      <c r="Q29" s="47">
        <f t="shared" si="14"/>
        <v>2981000</v>
      </c>
      <c r="R29" s="47">
        <f t="shared" si="14"/>
        <v>2732000</v>
      </c>
      <c r="S29" s="47">
        <f t="shared" si="14"/>
        <v>2515000</v>
      </c>
      <c r="T29" s="47">
        <f t="shared" si="14"/>
        <v>2411000</v>
      </c>
      <c r="U29" s="47">
        <f t="shared" si="14"/>
        <v>2285000</v>
      </c>
      <c r="V29" s="47">
        <f t="shared" si="14"/>
        <v>1856000</v>
      </c>
      <c r="W29" s="47">
        <f t="shared" si="14"/>
        <v>2225000</v>
      </c>
      <c r="X29" s="47">
        <f t="shared" si="14"/>
        <v>2187000</v>
      </c>
      <c r="Y29" s="47">
        <f t="shared" si="14"/>
        <v>2173000</v>
      </c>
      <c r="Z29" s="47">
        <f t="shared" si="14"/>
        <v>1864000</v>
      </c>
      <c r="AA29" s="47">
        <f t="shared" si="14"/>
        <v>1649000</v>
      </c>
      <c r="AB29" s="47">
        <f t="shared" si="14"/>
        <v>1262000</v>
      </c>
      <c r="AC29" s="37"/>
      <c r="AD29" s="37"/>
      <c r="AE29" s="37"/>
      <c r="AF29" s="37"/>
      <c r="AG29" s="37"/>
      <c r="AH29" s="37"/>
    </row>
    <row r="30" spans="1:34" ht="17" thickTop="1" x14ac:dyDescent="0.2">
      <c r="B30" s="26"/>
      <c r="C30" s="26"/>
      <c r="D30" s="26"/>
      <c r="E30" s="26"/>
      <c r="F30" s="26"/>
      <c r="G30" s="26"/>
      <c r="H30" s="26"/>
      <c r="I30" s="26"/>
      <c r="J30" s="26"/>
      <c r="K30" s="26"/>
      <c r="L30" s="26"/>
      <c r="M30" s="26"/>
      <c r="O30" s="30"/>
      <c r="P30" s="30"/>
      <c r="Q30" s="30"/>
      <c r="R30" s="30"/>
      <c r="S30" s="30"/>
      <c r="T30" s="30"/>
      <c r="U30" s="26"/>
      <c r="V30" s="26"/>
      <c r="W30" s="26"/>
      <c r="X30" s="26"/>
      <c r="Y30" s="26"/>
      <c r="Z30" s="26"/>
      <c r="AA30" s="26"/>
      <c r="AB30" s="26"/>
      <c r="AC30" s="30"/>
      <c r="AD30" s="30"/>
      <c r="AE30" s="30"/>
      <c r="AF30" s="30"/>
      <c r="AG30" s="30"/>
      <c r="AH30" s="30"/>
    </row>
    <row r="31" spans="1:34" s="28" customFormat="1" x14ac:dyDescent="0.2">
      <c r="A31" s="28" t="s">
        <v>60</v>
      </c>
      <c r="B31" s="36">
        <v>4962325</v>
      </c>
      <c r="C31" s="36">
        <v>4969210</v>
      </c>
      <c r="D31" s="36">
        <v>4972777</v>
      </c>
      <c r="E31" s="36">
        <v>4983047</v>
      </c>
      <c r="F31" s="36">
        <v>4977584</v>
      </c>
      <c r="G31" s="36">
        <v>5004513</v>
      </c>
      <c r="H31" s="36">
        <v>5024428</v>
      </c>
      <c r="I31" s="36">
        <v>5029343</v>
      </c>
      <c r="J31" s="36">
        <v>5032117</v>
      </c>
      <c r="K31" s="36">
        <v>5058337</v>
      </c>
      <c r="L31" s="36">
        <v>5065203</v>
      </c>
      <c r="M31" s="36">
        <v>5057337</v>
      </c>
      <c r="N31" s="36">
        <v>5080387</v>
      </c>
      <c r="O31" s="37">
        <v>5167806</v>
      </c>
      <c r="P31" s="37">
        <v>5307829</v>
      </c>
      <c r="Q31" s="37">
        <v>5340769</v>
      </c>
      <c r="R31" s="37">
        <v>5360740</v>
      </c>
      <c r="S31" s="37">
        <v>5399982</v>
      </c>
      <c r="T31" s="37">
        <v>5402528</v>
      </c>
      <c r="U31" s="36">
        <v>5402528</v>
      </c>
      <c r="V31" s="36">
        <v>5588686</v>
      </c>
      <c r="W31" s="36">
        <v>5892881</v>
      </c>
      <c r="X31" s="36">
        <v>6043111</v>
      </c>
      <c r="Y31" s="36">
        <v>6018151</v>
      </c>
      <c r="Z31" s="36">
        <v>6053483</v>
      </c>
      <c r="AA31" s="36">
        <v>6068109</v>
      </c>
      <c r="AB31" s="36">
        <v>6211335</v>
      </c>
    </row>
    <row r="32" spans="1:34" s="28" customFormat="1" x14ac:dyDescent="0.2">
      <c r="A32" s="28" t="s">
        <v>87</v>
      </c>
      <c r="B32" s="39">
        <f t="shared" ref="B32:AB32" si="15">B29/B31</f>
        <v>0.71861476223342891</v>
      </c>
      <c r="C32" s="39">
        <f t="shared" si="15"/>
        <v>2.1778109598910089</v>
      </c>
      <c r="D32" s="39">
        <f t="shared" si="15"/>
        <v>0.42310363002402884</v>
      </c>
      <c r="E32" s="39">
        <f t="shared" si="15"/>
        <v>0.72204817654740161</v>
      </c>
      <c r="F32" s="39">
        <f t="shared" si="15"/>
        <v>0.51149312598240426</v>
      </c>
      <c r="G32" s="39">
        <f t="shared" si="15"/>
        <v>0.4797669623397921</v>
      </c>
      <c r="H32" s="39">
        <f t="shared" si="15"/>
        <v>0.61419926805598568</v>
      </c>
      <c r="I32" s="39">
        <f t="shared" si="15"/>
        <v>0.62672201915836723</v>
      </c>
      <c r="J32" s="39">
        <f t="shared" si="15"/>
        <v>0.6204148273976936</v>
      </c>
      <c r="K32" s="39">
        <f t="shared" si="15"/>
        <v>0.53792382753462253</v>
      </c>
      <c r="L32" s="39">
        <f t="shared" si="15"/>
        <v>0.52278260121065234</v>
      </c>
      <c r="M32" s="39">
        <f t="shared" si="15"/>
        <v>0.40060608972666839</v>
      </c>
      <c r="N32" s="39">
        <f t="shared" si="15"/>
        <v>0.30352018458436336</v>
      </c>
      <c r="O32" s="40">
        <f t="shared" si="15"/>
        <v>9.9848949438117451E-2</v>
      </c>
      <c r="P32" s="40">
        <f t="shared" si="15"/>
        <v>0.42672814063904468</v>
      </c>
      <c r="Q32" s="40">
        <f t="shared" si="15"/>
        <v>0.55815932125130296</v>
      </c>
      <c r="R32" s="40">
        <f t="shared" si="15"/>
        <v>0.50963113301521801</v>
      </c>
      <c r="S32" s="40">
        <f t="shared" si="15"/>
        <v>0.46574229321505145</v>
      </c>
      <c r="T32" s="40">
        <f t="shared" si="15"/>
        <v>0.44627255980903757</v>
      </c>
      <c r="U32" s="39">
        <f t="shared" si="15"/>
        <v>0.42295014482109117</v>
      </c>
      <c r="V32" s="39">
        <f t="shared" si="15"/>
        <v>0.33209953108834528</v>
      </c>
      <c r="W32" s="39">
        <f t="shared" si="15"/>
        <v>0.37757422897221238</v>
      </c>
      <c r="X32" s="39">
        <f t="shared" si="15"/>
        <v>0.36189969040780484</v>
      </c>
      <c r="Y32" s="39">
        <f t="shared" si="15"/>
        <v>0.36107435655901621</v>
      </c>
      <c r="Z32" s="39">
        <f t="shared" si="15"/>
        <v>0.30792190215120785</v>
      </c>
      <c r="AA32" s="39">
        <f t="shared" si="15"/>
        <v>0.27174857933501195</v>
      </c>
      <c r="AB32" s="39">
        <f t="shared" si="15"/>
        <v>0.20317693378315613</v>
      </c>
    </row>
    <row r="33" spans="1:28" s="28" customFormat="1" x14ac:dyDescent="0.2">
      <c r="A33" s="3" t="s">
        <v>33</v>
      </c>
      <c r="B33" s="17">
        <v>0.5</v>
      </c>
      <c r="C33" s="17">
        <v>0.42</v>
      </c>
      <c r="D33" s="17">
        <v>0.4</v>
      </c>
      <c r="E33" s="17">
        <v>0.38</v>
      </c>
      <c r="F33" s="17">
        <v>0.36</v>
      </c>
      <c r="G33" s="17">
        <v>0.35</v>
      </c>
      <c r="H33" s="17">
        <v>0.34</v>
      </c>
      <c r="I33" s="17">
        <v>0.32</v>
      </c>
      <c r="J33" s="17">
        <v>0.3</v>
      </c>
      <c r="K33" s="17">
        <v>0.5</v>
      </c>
      <c r="L33" s="17">
        <v>0.23</v>
      </c>
      <c r="M33" s="17">
        <v>0.2</v>
      </c>
      <c r="N33" s="17">
        <v>0.17</v>
      </c>
      <c r="O33" s="18">
        <v>0.17</v>
      </c>
      <c r="P33" s="18">
        <v>0.17</v>
      </c>
      <c r="Q33" s="18">
        <v>0.15</v>
      </c>
      <c r="R33" s="18">
        <v>0.1</v>
      </c>
      <c r="S33" s="18">
        <v>0.1</v>
      </c>
      <c r="T33" s="18">
        <v>0</v>
      </c>
      <c r="U33" s="18">
        <v>0</v>
      </c>
      <c r="V33" s="18">
        <v>0</v>
      </c>
      <c r="W33" s="18">
        <v>0</v>
      </c>
      <c r="X33" s="18">
        <v>0</v>
      </c>
      <c r="Y33" s="18">
        <v>0</v>
      </c>
      <c r="Z33" s="18">
        <v>0</v>
      </c>
      <c r="AA33" s="16">
        <v>0</v>
      </c>
      <c r="AB33" s="39">
        <v>0</v>
      </c>
    </row>
    <row r="34" spans="1:28" x14ac:dyDescent="0.2">
      <c r="M34" s="26"/>
    </row>
    <row r="35" spans="1:28" x14ac:dyDescent="0.2">
      <c r="A35" s="28" t="s">
        <v>17</v>
      </c>
      <c r="B35" s="51">
        <f t="shared" ref="B35:AB35" si="16">B8/B6</f>
        <v>0.48299975886182783</v>
      </c>
      <c r="C35" s="51">
        <f t="shared" si="16"/>
        <v>0.50413401783301814</v>
      </c>
      <c r="D35" s="51">
        <f t="shared" si="16"/>
        <v>0.50003376325207649</v>
      </c>
      <c r="E35" s="51">
        <f t="shared" si="16"/>
        <v>0.48138184907263204</v>
      </c>
      <c r="F35" s="51">
        <f t="shared" si="16"/>
        <v>0.47062274746458804</v>
      </c>
      <c r="G35" s="51">
        <f t="shared" si="16"/>
        <v>0.52090975788701399</v>
      </c>
      <c r="H35" s="51">
        <f t="shared" si="16"/>
        <v>0.55720640569395019</v>
      </c>
      <c r="I35" s="51">
        <f t="shared" si="16"/>
        <v>0.54078803662942121</v>
      </c>
      <c r="J35" s="51">
        <f t="shared" si="16"/>
        <v>0.55537414965986398</v>
      </c>
      <c r="K35" s="51">
        <f t="shared" si="16"/>
        <v>0.51579448144624163</v>
      </c>
      <c r="L35" s="51">
        <f t="shared" si="16"/>
        <v>0.53719008264462809</v>
      </c>
      <c r="M35" s="51">
        <f t="shared" si="16"/>
        <v>0.47313163242266876</v>
      </c>
      <c r="N35" s="51">
        <f t="shared" si="16"/>
        <v>0.44712952307889015</v>
      </c>
      <c r="O35" s="51">
        <f t="shared" si="16"/>
        <v>0.4733620494218998</v>
      </c>
      <c r="P35" s="51">
        <f t="shared" si="16"/>
        <v>0.497116392869626</v>
      </c>
      <c r="Q35" s="51">
        <f t="shared" si="16"/>
        <v>0.51516506446083909</v>
      </c>
      <c r="R35" s="51">
        <f t="shared" si="16"/>
        <v>0.52378279781114079</v>
      </c>
      <c r="S35" s="51">
        <f t="shared" si="16"/>
        <v>0.52489895523526275</v>
      </c>
      <c r="T35" s="51">
        <f t="shared" si="16"/>
        <v>0.5157631228975984</v>
      </c>
      <c r="U35" s="51">
        <f t="shared" si="16"/>
        <v>0.50934470725087244</v>
      </c>
      <c r="V35" s="51">
        <f t="shared" si="16"/>
        <v>0.48359441976463252</v>
      </c>
      <c r="W35" s="51">
        <f t="shared" si="16"/>
        <v>0.47383929854822482</v>
      </c>
      <c r="X35" s="51">
        <f t="shared" si="16"/>
        <v>0.49262143121987395</v>
      </c>
      <c r="Y35" s="51">
        <f t="shared" si="16"/>
        <v>0.4746903196207371</v>
      </c>
      <c r="Z35" s="51">
        <f t="shared" si="16"/>
        <v>0.47088981578032674</v>
      </c>
      <c r="AA35" s="51">
        <f t="shared" si="16"/>
        <v>0.47572113210959399</v>
      </c>
      <c r="AB35" s="51">
        <f t="shared" si="16"/>
        <v>0.49235569422776909</v>
      </c>
    </row>
    <row r="36" spans="1:28" x14ac:dyDescent="0.2">
      <c r="A36" s="28" t="s">
        <v>49</v>
      </c>
      <c r="B36" s="51">
        <f t="shared" ref="B36:AB36" si="17">B15/B6</f>
        <v>0.27238967928623103</v>
      </c>
      <c r="C36" s="51">
        <f t="shared" si="17"/>
        <v>0.28673331532018376</v>
      </c>
      <c r="D36" s="51">
        <f t="shared" si="17"/>
        <v>0.25187386049024241</v>
      </c>
      <c r="E36" s="51">
        <f t="shared" si="17"/>
        <v>0.2340365283873708</v>
      </c>
      <c r="F36" s="51">
        <f t="shared" si="17"/>
        <v>0.20886765568686616</v>
      </c>
      <c r="G36" s="51">
        <f t="shared" si="17"/>
        <v>0.25522743947175347</v>
      </c>
      <c r="H36" s="51">
        <f t="shared" si="17"/>
        <v>0.29911032028469753</v>
      </c>
      <c r="I36" s="51">
        <f t="shared" si="17"/>
        <v>0.29858018986810048</v>
      </c>
      <c r="J36" s="51">
        <f t="shared" si="17"/>
        <v>0.31873015873015875</v>
      </c>
      <c r="K36" s="51">
        <f t="shared" si="17"/>
        <v>0.25670789724072313</v>
      </c>
      <c r="L36" s="51">
        <f t="shared" si="17"/>
        <v>0.29528439474963541</v>
      </c>
      <c r="M36" s="51">
        <f t="shared" si="17"/>
        <v>0.1992549108150824</v>
      </c>
      <c r="N36" s="51">
        <f t="shared" si="17"/>
        <v>0.13987981076588671</v>
      </c>
      <c r="O36" s="51">
        <f t="shared" si="17"/>
        <v>0.16832917705735662</v>
      </c>
      <c r="P36" s="51">
        <f t="shared" si="17"/>
        <v>0.24580566235581963</v>
      </c>
      <c r="Q36" s="51">
        <f t="shared" si="17"/>
        <v>0.27267307548997688</v>
      </c>
      <c r="R36" s="51">
        <f t="shared" si="17"/>
        <v>0.28756840185211169</v>
      </c>
      <c r="S36" s="51">
        <f t="shared" si="17"/>
        <v>0.27735834667886827</v>
      </c>
      <c r="T36" s="51">
        <f t="shared" si="17"/>
        <v>0.26824689040131422</v>
      </c>
      <c r="U36" s="51">
        <f t="shared" si="17"/>
        <v>0.26048856145792942</v>
      </c>
      <c r="V36" s="51">
        <f t="shared" si="17"/>
        <v>0.21580547112462006</v>
      </c>
      <c r="W36" s="51">
        <f t="shared" si="17"/>
        <v>0.22387523357769154</v>
      </c>
      <c r="X36" s="51">
        <f t="shared" si="17"/>
        <v>0.23885799035965888</v>
      </c>
      <c r="Y36" s="51">
        <f t="shared" si="17"/>
        <v>0.22511087322220524</v>
      </c>
      <c r="Z36" s="51">
        <f t="shared" si="17"/>
        <v>0.22862356621480709</v>
      </c>
      <c r="AA36" s="51">
        <f t="shared" si="17"/>
        <v>0.22696446333303191</v>
      </c>
      <c r="AB36" s="51">
        <f t="shared" si="17"/>
        <v>0.20894435777431097</v>
      </c>
    </row>
    <row r="37" spans="1:28" x14ac:dyDescent="0.2">
      <c r="A37" s="28" t="s">
        <v>85</v>
      </c>
      <c r="B37" s="51">
        <f t="shared" ref="B37:AB37" si="18">B29/B6</f>
        <v>0.1719797443935375</v>
      </c>
      <c r="C37" s="51">
        <f t="shared" si="18"/>
        <v>0.58481491488786819</v>
      </c>
      <c r="D37" s="51">
        <f t="shared" si="18"/>
        <v>0.14207576473765954</v>
      </c>
      <c r="E37" s="51">
        <f t="shared" si="18"/>
        <v>0.25470763131813678</v>
      </c>
      <c r="F37" s="51">
        <f t="shared" si="18"/>
        <v>0.21339368032855585</v>
      </c>
      <c r="G37" s="51">
        <f t="shared" si="18"/>
        <v>0.22019442406456347</v>
      </c>
      <c r="H37" s="51">
        <f t="shared" si="18"/>
        <v>0.27455516014234876</v>
      </c>
      <c r="I37" s="51">
        <f t="shared" si="18"/>
        <v>0.26480719146433673</v>
      </c>
      <c r="J37" s="51">
        <f t="shared" si="18"/>
        <v>0.28317460317460319</v>
      </c>
      <c r="K37" s="51">
        <f t="shared" si="18"/>
        <v>0.25889628924833491</v>
      </c>
      <c r="L37" s="51">
        <f t="shared" si="18"/>
        <v>0.25746232377248418</v>
      </c>
      <c r="M37" s="51">
        <f t="shared" si="18"/>
        <v>0.22871980130955069</v>
      </c>
      <c r="N37" s="51">
        <f t="shared" si="18"/>
        <v>0.1971614883007288</v>
      </c>
      <c r="O37" s="51">
        <f t="shared" si="18"/>
        <v>5.8490138290637046E-2</v>
      </c>
      <c r="P37" s="51">
        <f t="shared" si="18"/>
        <v>0.19792030758476056</v>
      </c>
      <c r="Q37" s="51">
        <f t="shared" si="18"/>
        <v>0.22214770102094045</v>
      </c>
      <c r="R37" s="51">
        <f t="shared" si="18"/>
        <v>0.19166549740423741</v>
      </c>
      <c r="S37" s="51">
        <f t="shared" si="18"/>
        <v>0.19179440250133456</v>
      </c>
      <c r="T37" s="51">
        <f t="shared" si="18"/>
        <v>0.18860987248689665</v>
      </c>
      <c r="U37" s="51">
        <f t="shared" si="18"/>
        <v>0.17720046529662659</v>
      </c>
      <c r="V37" s="51">
        <f t="shared" si="18"/>
        <v>0.14464967656457017</v>
      </c>
      <c r="W37" s="51">
        <f t="shared" si="18"/>
        <v>0.15991088112692253</v>
      </c>
      <c r="X37" s="51">
        <f t="shared" si="18"/>
        <v>0.1621802002224694</v>
      </c>
      <c r="Y37" s="51">
        <f t="shared" si="18"/>
        <v>0.16615690472549319</v>
      </c>
      <c r="Z37" s="51">
        <f t="shared" si="18"/>
        <v>0.16197427876259993</v>
      </c>
      <c r="AA37" s="51">
        <f t="shared" si="18"/>
        <v>0.14910932272357355</v>
      </c>
      <c r="AB37" s="51">
        <f t="shared" si="18"/>
        <v>0.13125325013000519</v>
      </c>
    </row>
    <row r="38" spans="1:28" x14ac:dyDescent="0.2">
      <c r="A38" s="2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row r="39" spans="1:28" x14ac:dyDescent="0.2">
      <c r="A39" s="28" t="s">
        <v>59</v>
      </c>
      <c r="B39" s="51">
        <f t="shared" ref="B39:AB39" si="19">B28/B24</f>
        <v>0.17853029255931813</v>
      </c>
      <c r="C39" s="51">
        <f t="shared" si="19"/>
        <v>0.25086529143015368</v>
      </c>
      <c r="D39" s="51">
        <f t="shared" si="19"/>
        <v>0.21050656660412759</v>
      </c>
      <c r="E39" s="51">
        <f t="shared" si="19"/>
        <v>0.2491652754590985</v>
      </c>
      <c r="F39" s="51">
        <f t="shared" si="19"/>
        <v>0.28200789622109418</v>
      </c>
      <c r="G39" s="51">
        <f t="shared" si="19"/>
        <v>0.31944444444444442</v>
      </c>
      <c r="H39" s="51">
        <f t="shared" si="19"/>
        <v>0.28515172573546443</v>
      </c>
      <c r="I39" s="51">
        <f t="shared" si="19"/>
        <v>0.32721451440768412</v>
      </c>
      <c r="J39" s="51">
        <f t="shared" si="19"/>
        <v>0.31669949660757279</v>
      </c>
      <c r="K39" s="51">
        <f t="shared" si="19"/>
        <v>0.31079027355623101</v>
      </c>
      <c r="L39" s="51">
        <f t="shared" si="19"/>
        <v>0.3129216398546964</v>
      </c>
      <c r="M39" s="51">
        <f t="shared" si="19"/>
        <v>0.22315950920245398</v>
      </c>
      <c r="N39" s="51">
        <f t="shared" si="19"/>
        <v>0.30913978494623656</v>
      </c>
      <c r="O39" s="51">
        <f t="shared" si="19"/>
        <v>0.4481283422459893</v>
      </c>
      <c r="P39" s="51">
        <f t="shared" si="19"/>
        <v>0.35962680237489397</v>
      </c>
      <c r="Q39" s="51">
        <f t="shared" si="19"/>
        <v>0.34382566585956414</v>
      </c>
      <c r="R39" s="51">
        <f t="shared" si="19"/>
        <v>0.35199240986717267</v>
      </c>
      <c r="S39" s="51">
        <f t="shared" si="19"/>
        <v>0.35628359355003841</v>
      </c>
      <c r="T39" s="51">
        <f t="shared" si="19"/>
        <v>0.38116016427104721</v>
      </c>
      <c r="U39" s="51">
        <f t="shared" si="19"/>
        <v>0.36756158317187931</v>
      </c>
      <c r="V39" s="51">
        <f t="shared" si="19"/>
        <v>0.3788487282463186</v>
      </c>
      <c r="W39" s="51">
        <f t="shared" si="19"/>
        <v>0.37217832957110608</v>
      </c>
      <c r="X39" s="51">
        <f t="shared" si="19"/>
        <v>0.38411715009856379</v>
      </c>
      <c r="Y39" s="51">
        <f t="shared" si="19"/>
        <v>0.34211323039660912</v>
      </c>
      <c r="Z39" s="51">
        <f t="shared" si="19"/>
        <v>0.35187760778859528</v>
      </c>
      <c r="AA39" s="51">
        <f t="shared" si="19"/>
        <v>0.37773584905660379</v>
      </c>
      <c r="AB39" s="51">
        <f t="shared" si="19"/>
        <v>0.42030316949931096</v>
      </c>
    </row>
    <row r="40" spans="1:28" x14ac:dyDescent="0.2">
      <c r="A40" s="28"/>
      <c r="B40" s="28"/>
      <c r="C40" s="28"/>
      <c r="D40" s="28"/>
      <c r="E40" s="28"/>
      <c r="F40" s="28"/>
      <c r="G40" s="28"/>
      <c r="H40" s="28"/>
      <c r="I40" s="28"/>
      <c r="J40" s="28"/>
      <c r="K40" s="28"/>
      <c r="L40" s="28"/>
      <c r="M40" s="26"/>
    </row>
    <row r="41" spans="1:28" x14ac:dyDescent="0.2">
      <c r="A41" s="28" t="s">
        <v>165</v>
      </c>
      <c r="B41" s="37">
        <f>'Balance Sheet'!B49</f>
        <v>49042000</v>
      </c>
      <c r="C41" s="37">
        <f>'Balance Sheet'!C49</f>
        <v>48404000</v>
      </c>
      <c r="D41" s="37">
        <f>'Balance Sheet'!D49</f>
        <v>39584000</v>
      </c>
      <c r="E41" s="37">
        <f>'Balance Sheet'!E49</f>
        <v>39553000</v>
      </c>
      <c r="F41" s="37">
        <f>'Balance Sheet'!F49</f>
        <v>37730000</v>
      </c>
      <c r="G41" s="37">
        <f>'Balance Sheet'!G49</f>
        <v>35765000</v>
      </c>
      <c r="H41" s="37">
        <f>'Balance Sheet'!H49</f>
        <v>34784000</v>
      </c>
      <c r="I41" s="37">
        <f>'Balance Sheet'!I49</f>
        <v>34369000</v>
      </c>
      <c r="J41" s="37">
        <f>'Balance Sheet'!J49</f>
        <v>32799000</v>
      </c>
      <c r="K41" s="37">
        <f>'Balance Sheet'!K49</f>
        <v>30747000</v>
      </c>
      <c r="L41" s="37">
        <f>'Balance Sheet'!L49</f>
        <v>30115000</v>
      </c>
      <c r="M41" s="37">
        <f>'Balance Sheet'!M49</f>
        <v>28671000</v>
      </c>
      <c r="N41" s="37">
        <f>'Balance Sheet'!N49</f>
        <v>27468000</v>
      </c>
      <c r="O41" s="37">
        <f>'Balance Sheet'!O49</f>
        <v>26099000</v>
      </c>
      <c r="P41" s="37">
        <f>'Balance Sheet'!P49</f>
        <v>27508000</v>
      </c>
      <c r="Q41" s="37">
        <f>'Balance Sheet'!Q49</f>
        <v>27171000</v>
      </c>
      <c r="R41" s="37">
        <f>'Balance Sheet'!R49</f>
        <v>24866000</v>
      </c>
      <c r="S41" s="37">
        <f>'Balance Sheet'!S49</f>
        <v>22054000</v>
      </c>
      <c r="T41" s="37">
        <f>'Balance Sheet'!T49</f>
        <v>20098000</v>
      </c>
      <c r="U41" s="37">
        <f>'Balance Sheet'!U49</f>
        <v>17203000</v>
      </c>
      <c r="V41" s="37">
        <f>'Balance Sheet'!V49</f>
        <v>14885000</v>
      </c>
      <c r="W41" s="37">
        <f>'Balance Sheet'!W49</f>
        <v>14307000</v>
      </c>
      <c r="X41" s="37">
        <f>'Balance Sheet'!X49</f>
        <v>13230000</v>
      </c>
      <c r="Y41" s="37">
        <f>'Balance Sheet'!Y49</f>
        <v>11358000</v>
      </c>
      <c r="Z41" s="37">
        <f>'Balance Sheet'!Z49</f>
        <v>8986000</v>
      </c>
      <c r="AA41" s="37">
        <f>'Balance Sheet'!AA49</f>
        <v>7212000</v>
      </c>
      <c r="AB41" s="37"/>
    </row>
    <row r="42" spans="1:28" x14ac:dyDescent="0.2">
      <c r="A42" s="28" t="s">
        <v>166</v>
      </c>
      <c r="B42" s="37">
        <f t="shared" ref="B42:AA42" si="20">B29</f>
        <v>3566000</v>
      </c>
      <c r="C42" s="37">
        <f t="shared" si="20"/>
        <v>10822000</v>
      </c>
      <c r="D42" s="37">
        <f t="shared" si="20"/>
        <v>2104000</v>
      </c>
      <c r="E42" s="37">
        <f t="shared" si="20"/>
        <v>3598000</v>
      </c>
      <c r="F42" s="37">
        <f t="shared" si="20"/>
        <v>2546000</v>
      </c>
      <c r="G42" s="37">
        <f t="shared" si="20"/>
        <v>2401000</v>
      </c>
      <c r="H42" s="37">
        <f t="shared" si="20"/>
        <v>3086000</v>
      </c>
      <c r="I42" s="37">
        <f t="shared" si="20"/>
        <v>3152000</v>
      </c>
      <c r="J42" s="37">
        <f t="shared" si="20"/>
        <v>3122000</v>
      </c>
      <c r="K42" s="37">
        <f t="shared" si="20"/>
        <v>2721000</v>
      </c>
      <c r="L42" s="37">
        <f t="shared" si="20"/>
        <v>2648000</v>
      </c>
      <c r="M42" s="37">
        <f t="shared" si="20"/>
        <v>2026000</v>
      </c>
      <c r="N42" s="37">
        <f t="shared" si="20"/>
        <v>1542000</v>
      </c>
      <c r="O42" s="37">
        <f t="shared" si="20"/>
        <v>516000</v>
      </c>
      <c r="P42" s="37">
        <f t="shared" si="20"/>
        <v>2265000</v>
      </c>
      <c r="Q42" s="37">
        <f t="shared" si="20"/>
        <v>2981000</v>
      </c>
      <c r="R42" s="37">
        <f t="shared" si="20"/>
        <v>2732000</v>
      </c>
      <c r="S42" s="37">
        <f t="shared" si="20"/>
        <v>2515000</v>
      </c>
      <c r="T42" s="37">
        <f t="shared" si="20"/>
        <v>2411000</v>
      </c>
      <c r="U42" s="37">
        <f t="shared" si="20"/>
        <v>2285000</v>
      </c>
      <c r="V42" s="37">
        <f t="shared" si="20"/>
        <v>1856000</v>
      </c>
      <c r="W42" s="37">
        <f t="shared" si="20"/>
        <v>2225000</v>
      </c>
      <c r="X42" s="37">
        <f t="shared" si="20"/>
        <v>2187000</v>
      </c>
      <c r="Y42" s="37">
        <f t="shared" si="20"/>
        <v>2173000</v>
      </c>
      <c r="Z42" s="37">
        <f t="shared" si="20"/>
        <v>1864000</v>
      </c>
      <c r="AA42" s="37">
        <f t="shared" si="20"/>
        <v>1649000</v>
      </c>
      <c r="AB42" s="37"/>
    </row>
    <row r="43" spans="1:28" x14ac:dyDescent="0.2">
      <c r="A43" s="78" t="s">
        <v>164</v>
      </c>
      <c r="B43" s="77">
        <f>B42/AVERAGE(B41:C41)</f>
        <v>7.3189253535291335E-2</v>
      </c>
      <c r="C43" s="77">
        <f t="shared" ref="C43:AA43" si="21">C42/AVERAGE(C41:D41)</f>
        <v>0.24598808928490248</v>
      </c>
      <c r="D43" s="77">
        <f t="shared" si="21"/>
        <v>5.317361032134147E-2</v>
      </c>
      <c r="E43" s="77">
        <f t="shared" si="21"/>
        <v>9.3112327420001806E-2</v>
      </c>
      <c r="F43" s="77">
        <f t="shared" si="21"/>
        <v>6.9283624736376628E-2</v>
      </c>
      <c r="G43" s="77">
        <f t="shared" si="21"/>
        <v>6.806616677770061E-2</v>
      </c>
      <c r="H43" s="77">
        <f t="shared" si="21"/>
        <v>8.9251370150246548E-2</v>
      </c>
      <c r="I43" s="77">
        <f t="shared" si="21"/>
        <v>9.3854216293473083E-2</v>
      </c>
      <c r="J43" s="77">
        <f t="shared" si="21"/>
        <v>9.8259528530513326E-2</v>
      </c>
      <c r="K43" s="77">
        <f t="shared" si="21"/>
        <v>8.9415398770990112E-2</v>
      </c>
      <c r="L43" s="77">
        <f t="shared" si="21"/>
        <v>9.0089477086381112E-2</v>
      </c>
      <c r="M43" s="77">
        <f t="shared" si="21"/>
        <v>7.2177986782806958E-2</v>
      </c>
      <c r="N43" s="77">
        <f t="shared" si="21"/>
        <v>5.7572759348106108E-2</v>
      </c>
      <c r="O43" s="77">
        <f t="shared" si="21"/>
        <v>1.9251217191784655E-2</v>
      </c>
      <c r="P43" s="77">
        <f t="shared" si="21"/>
        <v>8.2847162530404722E-2</v>
      </c>
      <c r="Q43" s="77">
        <f t="shared" si="21"/>
        <v>0.11457232353902032</v>
      </c>
      <c r="R43" s="77">
        <f t="shared" si="21"/>
        <v>0.11645353793691389</v>
      </c>
      <c r="S43" s="77">
        <f t="shared" si="21"/>
        <v>0.11933004365154679</v>
      </c>
      <c r="T43" s="77">
        <f t="shared" si="21"/>
        <v>0.12927267365486181</v>
      </c>
      <c r="U43" s="77">
        <f t="shared" si="21"/>
        <v>0.14242084268262278</v>
      </c>
      <c r="V43" s="77">
        <f t="shared" si="21"/>
        <v>0.1271581255138394</v>
      </c>
      <c r="W43" s="77">
        <f t="shared" si="21"/>
        <v>0.16160075534735083</v>
      </c>
      <c r="X43" s="77">
        <f t="shared" si="21"/>
        <v>0.17789165446559296</v>
      </c>
      <c r="Y43" s="77">
        <f t="shared" si="21"/>
        <v>0.21362563900904444</v>
      </c>
      <c r="Z43" s="77">
        <f t="shared" si="21"/>
        <v>0.23015187060130882</v>
      </c>
      <c r="AA43" s="77">
        <f t="shared" si="21"/>
        <v>0.22864669994453687</v>
      </c>
      <c r="AB43" s="76"/>
    </row>
    <row r="44" spans="1:28" x14ac:dyDescent="0.2">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row>
    <row r="45" spans="1:28" x14ac:dyDescent="0.2">
      <c r="A45" s="28" t="s">
        <v>167</v>
      </c>
      <c r="B45" s="37">
        <f>'Balance Sheet'!B68</f>
        <v>13985000</v>
      </c>
      <c r="C45" s="37">
        <f>'Balance Sheet'!C68</f>
        <v>9741000</v>
      </c>
      <c r="D45" s="37">
        <f>'Balance Sheet'!D68</f>
        <v>9804000</v>
      </c>
      <c r="E45" s="37">
        <f>'Balance Sheet'!E68</f>
        <v>9389000</v>
      </c>
      <c r="F45" s="37">
        <f>'Balance Sheet'!F68</f>
        <v>9090000</v>
      </c>
      <c r="G45" s="37">
        <f>'Balance Sheet'!G68</f>
        <v>4927000</v>
      </c>
      <c r="H45" s="37">
        <f>'Balance Sheet'!H68</f>
        <v>6336000</v>
      </c>
      <c r="I45" s="37">
        <f>'Balance Sheet'!I68</f>
        <v>5412000</v>
      </c>
      <c r="J45" s="37">
        <f>'Balance Sheet'!J68</f>
        <v>5023000</v>
      </c>
      <c r="K45" s="37">
        <f>'Balance Sheet'!K68</f>
        <v>5680000</v>
      </c>
      <c r="L45" s="37">
        <f>'Balance Sheet'!L68</f>
        <v>6062000</v>
      </c>
      <c r="M45" s="37">
        <f>'Balance Sheet'!M68</f>
        <v>5905000</v>
      </c>
      <c r="N45" s="37">
        <f>'Balance Sheet'!N68</f>
        <v>6220000</v>
      </c>
      <c r="O45" s="37">
        <f>'Balance Sheet'!O68</f>
        <v>7737000</v>
      </c>
      <c r="P45" s="37">
        <f>'Balance Sheet'!P68</f>
        <v>7903000</v>
      </c>
      <c r="Q45" s="37">
        <f>'Balance Sheet'!Q68</f>
        <v>7822000</v>
      </c>
      <c r="R45" s="37">
        <f>'Balance Sheet'!R68</f>
        <v>7560000</v>
      </c>
      <c r="S45" s="37">
        <f>'Balance Sheet'!S68</f>
        <v>6853000</v>
      </c>
      <c r="T45" s="37">
        <f>'Balance Sheet'!T68</f>
        <v>7052000</v>
      </c>
      <c r="U45" s="37">
        <f>'Balance Sheet'!U68</f>
        <v>6823000</v>
      </c>
      <c r="V45" s="37">
        <f>'Balance Sheet'!V68</f>
        <v>7102000</v>
      </c>
      <c r="W45" s="37">
        <f>'Balance Sheet'!W68</f>
        <v>7588000</v>
      </c>
      <c r="X45" s="37">
        <f>'Balance Sheet'!X68</f>
        <v>7633000</v>
      </c>
      <c r="Y45" s="37">
        <f>'Balance Sheet'!Y68</f>
        <v>6734000</v>
      </c>
      <c r="Z45" s="37">
        <f>'Balance Sheet'!Z68</f>
        <v>5620000</v>
      </c>
      <c r="AA45" s="37">
        <f>'Balance Sheet'!AA68</f>
        <v>5129000</v>
      </c>
    </row>
    <row r="46" spans="1:28" x14ac:dyDescent="0.2">
      <c r="A46" s="27" t="s">
        <v>168</v>
      </c>
      <c r="B46" s="65">
        <f t="shared" ref="B46:AA46" si="22">B15</f>
        <v>5648000</v>
      </c>
      <c r="C46" s="65">
        <f t="shared" si="22"/>
        <v>5306000</v>
      </c>
      <c r="D46" s="65">
        <f t="shared" si="22"/>
        <v>3730000</v>
      </c>
      <c r="E46" s="65">
        <f t="shared" si="22"/>
        <v>3306000</v>
      </c>
      <c r="F46" s="65">
        <f t="shared" si="22"/>
        <v>2492000</v>
      </c>
      <c r="G46" s="65">
        <f t="shared" si="22"/>
        <v>2783000</v>
      </c>
      <c r="H46" s="65">
        <f t="shared" si="22"/>
        <v>3362000</v>
      </c>
      <c r="I46" s="65">
        <f t="shared" si="22"/>
        <v>3554000</v>
      </c>
      <c r="J46" s="65">
        <f t="shared" si="22"/>
        <v>3514000</v>
      </c>
      <c r="K46" s="65">
        <f t="shared" si="22"/>
        <v>2698000</v>
      </c>
      <c r="L46" s="65">
        <f t="shared" si="22"/>
        <v>3037000</v>
      </c>
      <c r="M46" s="65">
        <f t="shared" si="22"/>
        <v>1765000</v>
      </c>
      <c r="N46" s="65">
        <f t="shared" si="22"/>
        <v>1094000</v>
      </c>
      <c r="O46" s="65">
        <f t="shared" si="22"/>
        <v>1485000</v>
      </c>
      <c r="P46" s="65">
        <f t="shared" si="22"/>
        <v>2813000</v>
      </c>
      <c r="Q46" s="65">
        <f t="shared" si="22"/>
        <v>3659000</v>
      </c>
      <c r="R46" s="65">
        <f t="shared" si="22"/>
        <v>4099000</v>
      </c>
      <c r="S46" s="65">
        <f t="shared" si="22"/>
        <v>3637000</v>
      </c>
      <c r="T46" s="65">
        <f t="shared" si="22"/>
        <v>3429000</v>
      </c>
      <c r="U46" s="65">
        <f t="shared" si="22"/>
        <v>3359000</v>
      </c>
      <c r="V46" s="65">
        <f t="shared" si="22"/>
        <v>2769000</v>
      </c>
      <c r="W46" s="65">
        <f t="shared" si="22"/>
        <v>3115000</v>
      </c>
      <c r="X46" s="65">
        <f t="shared" si="22"/>
        <v>3221000</v>
      </c>
      <c r="Y46" s="65">
        <f t="shared" si="22"/>
        <v>2944000</v>
      </c>
      <c r="Z46" s="65">
        <f t="shared" si="22"/>
        <v>2631000</v>
      </c>
      <c r="AA46" s="65">
        <f t="shared" si="22"/>
        <v>2510000</v>
      </c>
    </row>
    <row r="47" spans="1:28" x14ac:dyDescent="0.2">
      <c r="A47" s="27" t="s">
        <v>169</v>
      </c>
      <c r="B47" s="79">
        <v>0.28810000000000002</v>
      </c>
      <c r="C47" s="79">
        <v>0.28810000000000002</v>
      </c>
      <c r="D47" s="79">
        <v>0.28810000000000002</v>
      </c>
      <c r="E47" s="79">
        <v>0.28810000000000002</v>
      </c>
      <c r="F47" s="79">
        <v>0.37419999999999998</v>
      </c>
      <c r="G47" s="79">
        <v>0.41799999999999998</v>
      </c>
      <c r="H47" s="79">
        <v>0.41799999999999998</v>
      </c>
      <c r="I47" s="79">
        <v>0.41799999999999998</v>
      </c>
      <c r="J47" s="79">
        <v>0.41799999999999998</v>
      </c>
      <c r="K47" s="79">
        <v>0.41799999999999998</v>
      </c>
      <c r="L47" s="79">
        <v>0.41799999999999998</v>
      </c>
      <c r="M47" s="79">
        <v>0.41799999999999998</v>
      </c>
      <c r="N47" s="79">
        <v>0.41799999999999998</v>
      </c>
      <c r="O47" s="79">
        <v>0.41799999999999998</v>
      </c>
      <c r="P47" s="79">
        <v>0.41799999999999998</v>
      </c>
      <c r="Q47" s="79">
        <v>0.41799999999999998</v>
      </c>
      <c r="R47" s="79">
        <v>0.41799999999999998</v>
      </c>
      <c r="S47" s="79">
        <v>0.41799999999999998</v>
      </c>
      <c r="T47" s="79">
        <v>0.41799999999999998</v>
      </c>
      <c r="U47" s="79">
        <v>0.41799999999999998</v>
      </c>
      <c r="V47" s="79">
        <v>0.41799999999999998</v>
      </c>
      <c r="W47" s="79">
        <v>0.41799999999999998</v>
      </c>
      <c r="X47" s="79">
        <v>0.41799999999999998</v>
      </c>
      <c r="Y47" s="79">
        <v>0.41799999999999998</v>
      </c>
      <c r="Z47" s="79">
        <v>0.41799999999999998</v>
      </c>
      <c r="AA47" s="79">
        <v>0.41799999999999998</v>
      </c>
    </row>
    <row r="48" spans="1:28" x14ac:dyDescent="0.2">
      <c r="A48" s="27" t="s">
        <v>170</v>
      </c>
      <c r="B48" s="33">
        <f>B46*(1-B47)</f>
        <v>4020811.1999999997</v>
      </c>
      <c r="C48" s="33">
        <f t="shared" ref="C48:AA48" si="23">C46*(1-C47)</f>
        <v>3777341.4</v>
      </c>
      <c r="D48" s="33">
        <f t="shared" si="23"/>
        <v>2655387</v>
      </c>
      <c r="E48" s="33">
        <f t="shared" si="23"/>
        <v>2353541.4</v>
      </c>
      <c r="F48" s="33">
        <f t="shared" si="23"/>
        <v>1559493.6</v>
      </c>
      <c r="G48" s="33">
        <f t="shared" si="23"/>
        <v>1619706.0000000002</v>
      </c>
      <c r="H48" s="33">
        <f t="shared" si="23"/>
        <v>1956684.0000000002</v>
      </c>
      <c r="I48" s="33">
        <f t="shared" si="23"/>
        <v>2068428.0000000002</v>
      </c>
      <c r="J48" s="33">
        <f t="shared" si="23"/>
        <v>2045148.0000000002</v>
      </c>
      <c r="K48" s="33">
        <f t="shared" si="23"/>
        <v>1570236.0000000002</v>
      </c>
      <c r="L48" s="33">
        <f t="shared" si="23"/>
        <v>1767534.0000000002</v>
      </c>
      <c r="M48" s="33">
        <f t="shared" si="23"/>
        <v>1027230.0000000001</v>
      </c>
      <c r="N48" s="33">
        <f t="shared" si="23"/>
        <v>636708.00000000012</v>
      </c>
      <c r="O48" s="33">
        <f t="shared" si="23"/>
        <v>864270.00000000012</v>
      </c>
      <c r="P48" s="33">
        <f t="shared" si="23"/>
        <v>1637166.0000000002</v>
      </c>
      <c r="Q48" s="33">
        <f t="shared" si="23"/>
        <v>2129538.0000000005</v>
      </c>
      <c r="R48" s="33">
        <f t="shared" si="23"/>
        <v>2385618.0000000005</v>
      </c>
      <c r="S48" s="33">
        <f t="shared" si="23"/>
        <v>2116734.0000000005</v>
      </c>
      <c r="T48" s="33">
        <f t="shared" si="23"/>
        <v>1995678.0000000002</v>
      </c>
      <c r="U48" s="33">
        <f t="shared" si="23"/>
        <v>1954938.0000000002</v>
      </c>
      <c r="V48" s="33">
        <f t="shared" si="23"/>
        <v>1611558.0000000002</v>
      </c>
      <c r="W48" s="33">
        <f t="shared" si="23"/>
        <v>1812930.0000000002</v>
      </c>
      <c r="X48" s="33">
        <f t="shared" si="23"/>
        <v>1874622.0000000002</v>
      </c>
      <c r="Y48" s="33">
        <f t="shared" si="23"/>
        <v>1713408.0000000002</v>
      </c>
      <c r="Z48" s="33">
        <f t="shared" si="23"/>
        <v>1531242.0000000002</v>
      </c>
      <c r="AA48" s="33">
        <f t="shared" si="23"/>
        <v>1460820.0000000002</v>
      </c>
    </row>
    <row r="49" spans="1:27" x14ac:dyDescent="0.2">
      <c r="A49" s="78" t="s">
        <v>171</v>
      </c>
      <c r="B49" s="80">
        <f>B48/AVERAGE(B45:C45)</f>
        <v>0.33893713225996797</v>
      </c>
      <c r="C49" s="80">
        <f t="shared" ref="C49:AA49" si="24">C48/AVERAGE(C45:D45)</f>
        <v>0.38652764389869532</v>
      </c>
      <c r="D49" s="80">
        <f t="shared" si="24"/>
        <v>0.27670369405512424</v>
      </c>
      <c r="E49" s="80">
        <f t="shared" si="24"/>
        <v>0.25472605660479464</v>
      </c>
      <c r="F49" s="80">
        <f t="shared" si="24"/>
        <v>0.2225146036955126</v>
      </c>
      <c r="G49" s="80">
        <f t="shared" si="24"/>
        <v>0.28761537778566992</v>
      </c>
      <c r="H49" s="80">
        <f t="shared" si="24"/>
        <v>0.33310929519918286</v>
      </c>
      <c r="I49" s="80">
        <f t="shared" si="24"/>
        <v>0.39644044082414953</v>
      </c>
      <c r="J49" s="80">
        <f t="shared" si="24"/>
        <v>0.38216350555918904</v>
      </c>
      <c r="K49" s="80">
        <f t="shared" si="24"/>
        <v>0.26745631067961168</v>
      </c>
      <c r="L49" s="80">
        <f t="shared" si="24"/>
        <v>0.29540135372273757</v>
      </c>
      <c r="M49" s="80">
        <f t="shared" si="24"/>
        <v>0.16944000000000001</v>
      </c>
      <c r="N49" s="80">
        <f t="shared" si="24"/>
        <v>9.1238518306226285E-2</v>
      </c>
      <c r="O49" s="80">
        <f t="shared" si="24"/>
        <v>0.11052046035805628</v>
      </c>
      <c r="P49" s="80">
        <f t="shared" si="24"/>
        <v>0.20822461049284582</v>
      </c>
      <c r="Q49" s="80">
        <f t="shared" si="24"/>
        <v>0.2768870107918347</v>
      </c>
      <c r="R49" s="80">
        <f t="shared" si="24"/>
        <v>0.331036980503712</v>
      </c>
      <c r="S49" s="80">
        <f t="shared" si="24"/>
        <v>0.30445652642934201</v>
      </c>
      <c r="T49" s="80">
        <f t="shared" si="24"/>
        <v>0.28766529729729734</v>
      </c>
      <c r="U49" s="80">
        <f t="shared" si="24"/>
        <v>0.28078104129263914</v>
      </c>
      <c r="V49" s="80">
        <f t="shared" si="24"/>
        <v>0.21940884955752216</v>
      </c>
      <c r="W49" s="80">
        <f t="shared" si="24"/>
        <v>0.23821430917810923</v>
      </c>
      <c r="X49" s="80">
        <f t="shared" si="24"/>
        <v>0.26096220505324708</v>
      </c>
      <c r="Y49" s="80">
        <f t="shared" si="24"/>
        <v>0.2773851384167072</v>
      </c>
      <c r="Z49" s="80">
        <f t="shared" si="24"/>
        <v>0.2849087356963439</v>
      </c>
      <c r="AA49" s="80">
        <f t="shared" si="24"/>
        <v>0.28481575355819855</v>
      </c>
    </row>
  </sheetData>
  <mergeCells count="1">
    <mergeCell ref="B4:AB4"/>
  </mergeCells>
  <pageMargins left="0.7" right="0.7" top="0.75" bottom="0.75" header="0.3" footer="0.3"/>
  <pageSetup scale="65" fitToHeight="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1C261-60B7-A745-A49C-B72F37005B23}">
  <sheetPr>
    <pageSetUpPr fitToPage="1"/>
  </sheetPr>
  <dimension ref="A1:AN82"/>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9.1640625" defaultRowHeight="16" x14ac:dyDescent="0.2"/>
  <cols>
    <col min="1" max="1" width="59.5" style="27" bestFit="1" customWidth="1"/>
    <col min="2" max="2" width="12.1640625" style="27" bestFit="1" customWidth="1"/>
    <col min="3" max="3" width="11.5" style="27" bestFit="1" customWidth="1"/>
    <col min="4" max="11" width="11.1640625" style="27" bestFit="1" customWidth="1"/>
    <col min="12" max="12" width="16" style="27" bestFit="1" customWidth="1"/>
    <col min="13" max="13" width="11.83203125" style="27" customWidth="1"/>
    <col min="14" max="14" width="11.83203125" style="26" customWidth="1"/>
    <col min="15" max="28" width="11.83203125" style="27" customWidth="1"/>
    <col min="29" max="29" width="13.33203125" style="27" customWidth="1"/>
    <col min="30" max="37" width="11" style="27" customWidth="1"/>
    <col min="38" max="16384" width="9.1640625" style="27"/>
  </cols>
  <sheetData>
    <row r="1" spans="1:40" ht="19" x14ac:dyDescent="0.25">
      <c r="A1" s="52" t="s">
        <v>91</v>
      </c>
      <c r="B1" s="28"/>
      <c r="C1" s="28"/>
      <c r="D1" s="28"/>
      <c r="E1" s="28"/>
      <c r="F1" s="28"/>
      <c r="G1" s="28"/>
      <c r="H1" s="28"/>
      <c r="I1" s="28"/>
      <c r="J1" s="28"/>
      <c r="K1" s="28"/>
      <c r="L1" s="28"/>
      <c r="M1" s="28"/>
    </row>
    <row r="2" spans="1:40" x14ac:dyDescent="0.2">
      <c r="A2" s="43" t="s">
        <v>75</v>
      </c>
      <c r="B2" s="43"/>
      <c r="C2" s="43"/>
      <c r="D2" s="43"/>
      <c r="E2" s="43"/>
      <c r="F2" s="43"/>
      <c r="G2" s="43"/>
      <c r="H2" s="43"/>
      <c r="I2" s="43"/>
      <c r="J2" s="43"/>
      <c r="K2" s="43"/>
      <c r="L2" s="43"/>
      <c r="M2" s="43"/>
    </row>
    <row r="3" spans="1:40" x14ac:dyDescent="0.2">
      <c r="A3" s="43" t="s">
        <v>66</v>
      </c>
      <c r="B3" s="43"/>
      <c r="C3" s="43"/>
      <c r="D3" s="43"/>
      <c r="E3" s="43"/>
      <c r="F3" s="43"/>
      <c r="G3" s="43"/>
      <c r="H3" s="43"/>
      <c r="I3" s="43"/>
      <c r="J3" s="43"/>
      <c r="K3" s="43"/>
      <c r="L3" s="43"/>
      <c r="M3" s="43"/>
    </row>
    <row r="4" spans="1:40" x14ac:dyDescent="0.2">
      <c r="A4" s="46"/>
      <c r="B4" s="100" t="s">
        <v>84</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1"/>
      <c r="AC4" s="102" t="s">
        <v>142</v>
      </c>
    </row>
    <row r="5" spans="1:40" s="28" customFormat="1" x14ac:dyDescent="0.2">
      <c r="A5" s="42"/>
      <c r="B5" s="44">
        <v>44681</v>
      </c>
      <c r="C5" s="44">
        <v>44316</v>
      </c>
      <c r="D5" s="44">
        <v>43951</v>
      </c>
      <c r="E5" s="44">
        <v>43585</v>
      </c>
      <c r="F5" s="44">
        <v>43220</v>
      </c>
      <c r="G5" s="44">
        <v>42855</v>
      </c>
      <c r="H5" s="44">
        <v>42490</v>
      </c>
      <c r="I5" s="44">
        <v>42124</v>
      </c>
      <c r="J5" s="44">
        <v>41759</v>
      </c>
      <c r="K5" s="44">
        <v>41394</v>
      </c>
      <c r="L5" s="44">
        <v>41029</v>
      </c>
      <c r="M5" s="57">
        <v>40663</v>
      </c>
      <c r="N5" s="57">
        <v>40298</v>
      </c>
      <c r="O5" s="44">
        <v>39933</v>
      </c>
      <c r="P5" s="44">
        <v>39568</v>
      </c>
      <c r="Q5" s="44">
        <v>39202</v>
      </c>
      <c r="R5" s="44">
        <v>38837</v>
      </c>
      <c r="S5" s="44">
        <v>38472</v>
      </c>
      <c r="T5" s="44">
        <v>38107</v>
      </c>
      <c r="U5" s="44">
        <v>37741</v>
      </c>
      <c r="V5" s="44">
        <v>37376</v>
      </c>
      <c r="W5" s="44">
        <v>37011</v>
      </c>
      <c r="X5" s="44">
        <v>36646</v>
      </c>
      <c r="Y5" s="44">
        <v>36280</v>
      </c>
      <c r="Z5" s="44">
        <v>35915</v>
      </c>
      <c r="AA5" s="44">
        <v>35550</v>
      </c>
      <c r="AB5" s="58">
        <v>35185</v>
      </c>
      <c r="AC5" s="102"/>
      <c r="AD5" s="29"/>
      <c r="AE5" s="29"/>
      <c r="AF5" s="29"/>
      <c r="AG5" s="29"/>
      <c r="AH5" s="29"/>
      <c r="AI5" s="29"/>
      <c r="AJ5" s="29"/>
      <c r="AK5" s="29"/>
      <c r="AL5" s="29"/>
      <c r="AM5" s="29"/>
      <c r="AN5" s="29"/>
    </row>
    <row r="6" spans="1:40" x14ac:dyDescent="0.2">
      <c r="A6" s="28" t="s">
        <v>92</v>
      </c>
      <c r="B6" s="34"/>
      <c r="C6" s="34"/>
      <c r="D6" s="34"/>
      <c r="E6" s="34"/>
      <c r="F6" s="34"/>
      <c r="G6" s="34"/>
      <c r="H6" s="34"/>
      <c r="I6" s="34"/>
      <c r="J6" s="34"/>
      <c r="K6" s="34"/>
      <c r="L6" s="34"/>
      <c r="M6" s="34"/>
      <c r="N6" s="34"/>
      <c r="O6" s="35"/>
      <c r="P6" s="35"/>
      <c r="Q6" s="35"/>
      <c r="R6" s="35"/>
      <c r="S6" s="35"/>
      <c r="T6" s="35"/>
      <c r="U6" s="34"/>
      <c r="V6" s="34"/>
      <c r="W6" s="34"/>
      <c r="X6" s="34"/>
      <c r="Y6" s="34"/>
      <c r="Z6" s="34"/>
      <c r="AA6" s="34"/>
      <c r="AB6" s="59"/>
      <c r="AC6" s="30"/>
      <c r="AD6" s="30"/>
      <c r="AE6" s="30"/>
      <c r="AF6" s="30"/>
      <c r="AG6" s="30"/>
      <c r="AH6" s="30"/>
      <c r="AI6" s="31"/>
      <c r="AJ6" s="31"/>
      <c r="AK6" s="31"/>
      <c r="AL6" s="31"/>
    </row>
    <row r="7" spans="1:40" x14ac:dyDescent="0.2">
      <c r="A7" s="28" t="s">
        <v>93</v>
      </c>
      <c r="B7" s="53">
        <v>3566000</v>
      </c>
      <c r="C7" s="53">
        <v>10822000</v>
      </c>
      <c r="D7" s="53">
        <v>2104000</v>
      </c>
      <c r="E7" s="53">
        <v>3598000</v>
      </c>
      <c r="F7" s="53">
        <v>2546000</v>
      </c>
      <c r="G7" s="53">
        <v>2401000</v>
      </c>
      <c r="H7" s="53">
        <v>3086000</v>
      </c>
      <c r="I7" s="53">
        <v>3152000</v>
      </c>
      <c r="J7" s="53">
        <v>3122000</v>
      </c>
      <c r="K7" s="53">
        <v>2721000</v>
      </c>
      <c r="L7" s="53">
        <v>2648000</v>
      </c>
      <c r="M7" s="53">
        <v>2026000</v>
      </c>
      <c r="N7" s="53">
        <v>1542000</v>
      </c>
      <c r="O7" s="54">
        <v>516000</v>
      </c>
      <c r="P7" s="54">
        <v>2265000</v>
      </c>
      <c r="Q7" s="54">
        <v>2981000</v>
      </c>
      <c r="R7" s="54">
        <v>2732000</v>
      </c>
      <c r="S7" s="54">
        <v>2515000</v>
      </c>
      <c r="T7" s="54">
        <v>2411000</v>
      </c>
      <c r="U7" s="53">
        <v>2285000</v>
      </c>
      <c r="V7" s="53">
        <v>1856000</v>
      </c>
      <c r="W7" s="53">
        <v>2225000</v>
      </c>
      <c r="X7" s="53">
        <v>2187000</v>
      </c>
      <c r="Y7" s="53">
        <v>2173000</v>
      </c>
      <c r="Z7" s="53">
        <v>1864000</v>
      </c>
      <c r="AA7" s="53">
        <v>1649000</v>
      </c>
      <c r="AB7" s="60">
        <v>1262000</v>
      </c>
      <c r="AC7" s="37">
        <f>SUM(B7:AB7)</f>
        <v>72255000</v>
      </c>
      <c r="AD7" s="30"/>
      <c r="AE7" s="30"/>
      <c r="AF7" s="30"/>
      <c r="AG7" s="30"/>
      <c r="AH7" s="30"/>
      <c r="AI7" s="31"/>
      <c r="AJ7" s="31"/>
      <c r="AK7" s="31"/>
      <c r="AL7" s="31"/>
    </row>
    <row r="8" spans="1:40" x14ac:dyDescent="0.2">
      <c r="A8" s="27" t="s">
        <v>94</v>
      </c>
      <c r="B8" s="34"/>
      <c r="C8" s="34"/>
      <c r="D8" s="34"/>
      <c r="E8" s="34"/>
      <c r="F8" s="34"/>
      <c r="G8" s="34"/>
      <c r="H8" s="34"/>
      <c r="I8" s="34"/>
      <c r="J8" s="34"/>
      <c r="K8" s="34"/>
      <c r="L8" s="34"/>
      <c r="M8" s="34"/>
      <c r="N8" s="34"/>
      <c r="O8" s="35"/>
      <c r="P8" s="35"/>
      <c r="Q8" s="35"/>
      <c r="R8" s="35"/>
      <c r="S8" s="35"/>
      <c r="T8" s="35"/>
      <c r="U8" s="34"/>
      <c r="V8" s="34"/>
      <c r="W8" s="34"/>
      <c r="X8" s="34"/>
      <c r="Y8" s="34"/>
      <c r="Z8" s="34"/>
      <c r="AA8" s="34"/>
      <c r="AB8" s="59"/>
      <c r="AC8" s="30"/>
      <c r="AD8" s="30"/>
      <c r="AE8" s="30"/>
      <c r="AF8" s="30"/>
      <c r="AG8" s="30"/>
      <c r="AH8" s="30"/>
      <c r="AI8" s="31"/>
      <c r="AJ8" s="31"/>
      <c r="AK8" s="31"/>
      <c r="AL8" s="31"/>
    </row>
    <row r="9" spans="1:40" x14ac:dyDescent="0.2">
      <c r="A9" s="27" t="s">
        <v>95</v>
      </c>
      <c r="B9" s="34">
        <v>435000</v>
      </c>
      <c r="C9" s="34">
        <v>401000</v>
      </c>
      <c r="D9" s="34">
        <v>373000</v>
      </c>
      <c r="E9" s="34">
        <v>354000</v>
      </c>
      <c r="F9" s="34">
        <v>257000</v>
      </c>
      <c r="G9" s="34">
        <v>187000</v>
      </c>
      <c r="H9" s="34">
        <v>182000</v>
      </c>
      <c r="I9" s="34">
        <v>149000</v>
      </c>
      <c r="J9" s="34">
        <v>156000</v>
      </c>
      <c r="K9" s="34">
        <v>174000</v>
      </c>
      <c r="L9" s="34">
        <v>160000</v>
      </c>
      <c r="M9" s="34">
        <v>153000</v>
      </c>
      <c r="N9" s="34">
        <v>167000</v>
      </c>
      <c r="O9" s="35">
        <v>173000</v>
      </c>
      <c r="P9" s="35">
        <v>170000</v>
      </c>
      <c r="Q9" s="35">
        <v>180000</v>
      </c>
      <c r="R9" s="35">
        <v>184000</v>
      </c>
      <c r="S9" s="35">
        <v>203000</v>
      </c>
      <c r="T9" s="35">
        <v>235000</v>
      </c>
      <c r="U9" s="34">
        <v>263000</v>
      </c>
      <c r="V9" s="34">
        <v>261000</v>
      </c>
      <c r="W9" s="34">
        <v>265000</v>
      </c>
      <c r="X9" s="34">
        <v>208000</v>
      </c>
      <c r="Y9" s="34">
        <v>166000</v>
      </c>
      <c r="Z9" s="34">
        <v>124000</v>
      </c>
      <c r="AA9" s="34">
        <v>109000</v>
      </c>
      <c r="AB9" s="59">
        <v>93000</v>
      </c>
      <c r="AC9" s="30">
        <f>SUM(B9:AB9)</f>
        <v>5782000</v>
      </c>
      <c r="AD9" s="30"/>
      <c r="AE9" s="30"/>
      <c r="AF9" s="30"/>
      <c r="AG9" s="30"/>
      <c r="AH9" s="30"/>
      <c r="AI9" s="31"/>
      <c r="AJ9" s="31"/>
      <c r="AK9" s="31"/>
      <c r="AL9" s="31"/>
    </row>
    <row r="10" spans="1:40" x14ac:dyDescent="0.2">
      <c r="A10" s="27" t="s">
        <v>131</v>
      </c>
      <c r="B10" s="34">
        <v>-414000</v>
      </c>
      <c r="C10" s="34">
        <v>-442000</v>
      </c>
      <c r="D10" s="34">
        <v>227000</v>
      </c>
      <c r="E10" s="34">
        <v>-129000</v>
      </c>
      <c r="F10" s="34">
        <v>-231000</v>
      </c>
      <c r="G10" s="34">
        <v>-180000</v>
      </c>
      <c r="H10" s="34">
        <v>-141000</v>
      </c>
      <c r="I10" s="34">
        <v>-304000</v>
      </c>
      <c r="J10" s="34">
        <v>-257000</v>
      </c>
      <c r="K10" s="34">
        <v>-460000</v>
      </c>
      <c r="L10" s="34">
        <v>-51000</v>
      </c>
      <c r="M10" s="34">
        <v>-169000</v>
      </c>
      <c r="N10" s="34">
        <v>-277000</v>
      </c>
      <c r="O10" s="35">
        <v>1376000</v>
      </c>
      <c r="P10" s="35">
        <v>163000</v>
      </c>
      <c r="Q10" s="35">
        <v>-188000</v>
      </c>
      <c r="R10" s="35">
        <v>353000</v>
      </c>
      <c r="S10" s="35">
        <v>88000</v>
      </c>
      <c r="T10" s="35">
        <v>-37000</v>
      </c>
      <c r="U10" s="34">
        <v>58000</v>
      </c>
      <c r="V10" s="34">
        <v>1000</v>
      </c>
      <c r="W10" s="34">
        <v>2000</v>
      </c>
      <c r="X10" s="34">
        <v>0</v>
      </c>
      <c r="Y10" s="34">
        <v>18000</v>
      </c>
      <c r="Z10" s="34">
        <v>0</v>
      </c>
      <c r="AA10" s="34">
        <v>9000</v>
      </c>
      <c r="AB10" s="59">
        <v>0</v>
      </c>
      <c r="AC10" s="30">
        <f t="shared" ref="AC10:AC32" si="0">SUM(B10:AB10)</f>
        <v>-985000</v>
      </c>
      <c r="AD10" s="30"/>
      <c r="AE10" s="30"/>
      <c r="AF10" s="30"/>
      <c r="AG10" s="30"/>
      <c r="AH10" s="30"/>
      <c r="AI10" s="31"/>
      <c r="AJ10" s="31"/>
      <c r="AK10" s="31"/>
      <c r="AL10" s="31"/>
    </row>
    <row r="11" spans="1:40" x14ac:dyDescent="0.2">
      <c r="A11" s="27" t="s">
        <v>133</v>
      </c>
      <c r="B11" s="34">
        <v>0</v>
      </c>
      <c r="C11" s="34">
        <v>0</v>
      </c>
      <c r="D11" s="34">
        <v>0</v>
      </c>
      <c r="E11" s="34">
        <v>0</v>
      </c>
      <c r="F11" s="34">
        <v>0</v>
      </c>
      <c r="G11" s="34">
        <v>0</v>
      </c>
      <c r="H11" s="34">
        <v>0</v>
      </c>
      <c r="I11" s="34">
        <v>-5000</v>
      </c>
      <c r="J11" s="34">
        <v>-127000</v>
      </c>
      <c r="K11" s="34">
        <v>0</v>
      </c>
      <c r="L11" s="34">
        <v>-12000</v>
      </c>
      <c r="M11" s="34">
        <v>0</v>
      </c>
      <c r="N11" s="34">
        <v>-7000</v>
      </c>
      <c r="O11" s="35">
        <v>0</v>
      </c>
      <c r="P11" s="35">
        <v>-15000</v>
      </c>
      <c r="Q11" s="35">
        <v>0</v>
      </c>
      <c r="R11" s="35">
        <v>0</v>
      </c>
      <c r="S11" s="35">
        <v>0</v>
      </c>
      <c r="T11" s="35">
        <v>0</v>
      </c>
      <c r="U11" s="34">
        <v>0</v>
      </c>
      <c r="V11" s="34">
        <v>0</v>
      </c>
      <c r="W11" s="34">
        <v>0</v>
      </c>
      <c r="X11" s="34">
        <v>0</v>
      </c>
      <c r="Y11" s="34">
        <v>0</v>
      </c>
      <c r="Z11" s="34">
        <v>0</v>
      </c>
      <c r="AA11" s="34">
        <v>0</v>
      </c>
      <c r="AB11" s="59">
        <v>0</v>
      </c>
      <c r="AC11" s="30">
        <f t="shared" si="0"/>
        <v>-166000</v>
      </c>
      <c r="AD11" s="30"/>
      <c r="AE11" s="30"/>
      <c r="AF11" s="30"/>
      <c r="AG11" s="30"/>
      <c r="AH11" s="30"/>
      <c r="AI11" s="31"/>
      <c r="AJ11" s="31"/>
      <c r="AK11" s="31"/>
      <c r="AL11" s="31"/>
    </row>
    <row r="12" spans="1:40" x14ac:dyDescent="0.2">
      <c r="A12" s="27" t="s">
        <v>137</v>
      </c>
      <c r="B12" s="34">
        <v>0</v>
      </c>
      <c r="C12" s="34">
        <v>0</v>
      </c>
      <c r="D12" s="34">
        <v>0</v>
      </c>
      <c r="E12" s="34">
        <v>0</v>
      </c>
      <c r="F12" s="34">
        <v>0</v>
      </c>
      <c r="G12" s="34">
        <v>0</v>
      </c>
      <c r="H12" s="34">
        <v>0</v>
      </c>
      <c r="I12" s="34">
        <v>0</v>
      </c>
      <c r="J12" s="34">
        <v>0</v>
      </c>
      <c r="K12" s="34">
        <v>0</v>
      </c>
      <c r="L12" s="34">
        <v>0</v>
      </c>
      <c r="M12" s="34">
        <v>0</v>
      </c>
      <c r="N12" s="34">
        <v>0</v>
      </c>
      <c r="O12" s="35">
        <v>0</v>
      </c>
      <c r="P12" s="35">
        <v>-25000</v>
      </c>
      <c r="Q12" s="35">
        <v>0</v>
      </c>
      <c r="R12" s="35">
        <v>0</v>
      </c>
      <c r="S12" s="35">
        <v>0</v>
      </c>
      <c r="T12" s="35">
        <v>-75000</v>
      </c>
      <c r="U12" s="34">
        <v>0</v>
      </c>
      <c r="V12" s="34">
        <v>0</v>
      </c>
      <c r="W12" s="34">
        <v>0</v>
      </c>
      <c r="X12" s="34">
        <v>0</v>
      </c>
      <c r="Y12" s="34">
        <v>0</v>
      </c>
      <c r="Z12" s="34">
        <v>0</v>
      </c>
      <c r="AA12" s="34">
        <v>0</v>
      </c>
      <c r="AB12" s="59">
        <v>0</v>
      </c>
      <c r="AC12" s="30">
        <f t="shared" si="0"/>
        <v>-100000</v>
      </c>
      <c r="AD12" s="30"/>
      <c r="AE12" s="30"/>
      <c r="AF12" s="30"/>
      <c r="AG12" s="30"/>
      <c r="AH12" s="30"/>
      <c r="AI12" s="31"/>
      <c r="AJ12" s="31"/>
      <c r="AK12" s="31"/>
      <c r="AL12" s="31"/>
    </row>
    <row r="13" spans="1:40" x14ac:dyDescent="0.2">
      <c r="A13" s="27" t="s">
        <v>96</v>
      </c>
      <c r="B13" s="34">
        <v>0</v>
      </c>
      <c r="C13" s="34">
        <v>79000</v>
      </c>
      <c r="D13" s="34">
        <v>157000</v>
      </c>
      <c r="E13" s="34">
        <v>68000</v>
      </c>
      <c r="F13" s="34">
        <v>31000</v>
      </c>
      <c r="G13" s="34">
        <v>220000</v>
      </c>
      <c r="H13" s="34">
        <v>69000</v>
      </c>
      <c r="I13" s="34">
        <v>0</v>
      </c>
      <c r="J13" s="34">
        <v>0</v>
      </c>
      <c r="K13" s="34">
        <v>0</v>
      </c>
      <c r="L13" s="34">
        <v>0</v>
      </c>
      <c r="M13" s="34">
        <v>0</v>
      </c>
      <c r="N13" s="34">
        <v>0</v>
      </c>
      <c r="O13" s="35">
        <v>0</v>
      </c>
      <c r="P13" s="35">
        <v>0</v>
      </c>
      <c r="Q13" s="35">
        <v>0</v>
      </c>
      <c r="R13" s="35">
        <v>0</v>
      </c>
      <c r="S13" s="35">
        <v>0</v>
      </c>
      <c r="T13" s="35">
        <v>0</v>
      </c>
      <c r="U13" s="34">
        <v>0</v>
      </c>
      <c r="V13" s="34">
        <v>0</v>
      </c>
      <c r="W13" s="34">
        <v>0</v>
      </c>
      <c r="X13" s="34">
        <v>0</v>
      </c>
      <c r="Y13" s="34">
        <v>0</v>
      </c>
      <c r="Z13" s="34">
        <v>0</v>
      </c>
      <c r="AA13" s="34">
        <v>0</v>
      </c>
      <c r="AB13" s="59">
        <v>0</v>
      </c>
      <c r="AC13" s="30">
        <f t="shared" si="0"/>
        <v>624000</v>
      </c>
      <c r="AD13" s="30"/>
      <c r="AE13" s="30"/>
      <c r="AF13" s="30"/>
      <c r="AG13" s="30"/>
      <c r="AH13" s="30"/>
      <c r="AI13" s="31"/>
      <c r="AJ13" s="31"/>
      <c r="AK13" s="31"/>
      <c r="AL13" s="31"/>
    </row>
    <row r="14" spans="1:40" x14ac:dyDescent="0.2">
      <c r="A14" s="27" t="s">
        <v>97</v>
      </c>
      <c r="B14" s="34">
        <v>2764000</v>
      </c>
      <c r="C14" s="34">
        <v>-7007000</v>
      </c>
      <c r="D14" s="34">
        <v>1619000</v>
      </c>
      <c r="E14" s="34">
        <v>-444000</v>
      </c>
      <c r="F14" s="34">
        <v>0</v>
      </c>
      <c r="G14" s="34">
        <v>0</v>
      </c>
      <c r="H14" s="34">
        <v>0</v>
      </c>
      <c r="I14" s="34">
        <v>0</v>
      </c>
      <c r="J14" s="34">
        <v>0</v>
      </c>
      <c r="K14" s="34">
        <v>0</v>
      </c>
      <c r="L14" s="34">
        <v>0</v>
      </c>
      <c r="M14" s="34">
        <v>0</v>
      </c>
      <c r="N14" s="34">
        <v>0</v>
      </c>
      <c r="O14" s="35">
        <v>0</v>
      </c>
      <c r="P14" s="35">
        <v>0</v>
      </c>
      <c r="Q14" s="35">
        <v>0</v>
      </c>
      <c r="R14" s="35">
        <v>0</v>
      </c>
      <c r="S14" s="35">
        <v>0</v>
      </c>
      <c r="T14" s="35">
        <v>0</v>
      </c>
      <c r="U14" s="34">
        <v>0</v>
      </c>
      <c r="V14" s="34">
        <v>-578000</v>
      </c>
      <c r="W14" s="34">
        <v>-1141000</v>
      </c>
      <c r="X14" s="34">
        <v>173000</v>
      </c>
      <c r="Y14" s="34">
        <v>238000</v>
      </c>
      <c r="Z14" s="34">
        <v>-30000</v>
      </c>
      <c r="AA14" s="34">
        <v>-55000</v>
      </c>
      <c r="AB14" s="59">
        <v>12000</v>
      </c>
      <c r="AC14" s="30">
        <f t="shared" si="0"/>
        <v>-4449000</v>
      </c>
      <c r="AD14" s="30"/>
      <c r="AE14" s="30"/>
      <c r="AF14" s="30"/>
      <c r="AG14" s="30"/>
      <c r="AH14" s="30"/>
      <c r="AI14" s="31"/>
      <c r="AJ14" s="31"/>
      <c r="AK14" s="31"/>
      <c r="AL14" s="31"/>
    </row>
    <row r="15" spans="1:40" x14ac:dyDescent="0.2">
      <c r="A15" s="27" t="s">
        <v>98</v>
      </c>
      <c r="B15" s="34">
        <v>0</v>
      </c>
      <c r="C15" s="34">
        <v>-950000</v>
      </c>
      <c r="D15" s="34">
        <v>0</v>
      </c>
      <c r="E15" s="34">
        <v>0</v>
      </c>
      <c r="F15" s="34">
        <v>0</v>
      </c>
      <c r="G15" s="34">
        <v>0</v>
      </c>
      <c r="H15" s="34">
        <v>0</v>
      </c>
      <c r="I15" s="34">
        <v>0</v>
      </c>
      <c r="J15" s="34">
        <v>0</v>
      </c>
      <c r="K15" s="34">
        <v>0</v>
      </c>
      <c r="L15" s="34">
        <v>0</v>
      </c>
      <c r="M15" s="34">
        <v>0</v>
      </c>
      <c r="N15" s="34">
        <v>0</v>
      </c>
      <c r="O15" s="35">
        <v>0</v>
      </c>
      <c r="P15" s="35">
        <v>0</v>
      </c>
      <c r="Q15" s="35">
        <v>0</v>
      </c>
      <c r="R15" s="35">
        <v>0</v>
      </c>
      <c r="S15" s="35">
        <v>0</v>
      </c>
      <c r="T15" s="35">
        <v>0</v>
      </c>
      <c r="U15" s="34">
        <v>0</v>
      </c>
      <c r="V15" s="34">
        <v>0</v>
      </c>
      <c r="W15" s="34">
        <v>0</v>
      </c>
      <c r="X15" s="34">
        <v>0</v>
      </c>
      <c r="Y15" s="34">
        <v>0</v>
      </c>
      <c r="Z15" s="34">
        <v>0</v>
      </c>
      <c r="AA15" s="34">
        <v>0</v>
      </c>
      <c r="AB15" s="59">
        <v>0</v>
      </c>
      <c r="AC15" s="30">
        <f t="shared" si="0"/>
        <v>-950000</v>
      </c>
      <c r="AD15" s="30"/>
      <c r="AE15" s="30"/>
      <c r="AF15" s="30"/>
      <c r="AG15" s="30"/>
      <c r="AH15" s="30"/>
      <c r="AI15" s="31"/>
      <c r="AJ15" s="31"/>
      <c r="AK15" s="31"/>
      <c r="AL15" s="31"/>
    </row>
    <row r="16" spans="1:40" x14ac:dyDescent="0.2">
      <c r="A16" s="27" t="s">
        <v>99</v>
      </c>
      <c r="B16" s="34">
        <v>24000</v>
      </c>
      <c r="C16" s="34">
        <v>3000</v>
      </c>
      <c r="D16" s="34">
        <v>-2000</v>
      </c>
      <c r="E16" s="34">
        <v>3000</v>
      </c>
      <c r="F16" s="34">
        <v>3000</v>
      </c>
      <c r="G16" s="34">
        <v>2000</v>
      </c>
      <c r="H16" s="34">
        <v>-2000</v>
      </c>
      <c r="I16" s="34">
        <v>-4000</v>
      </c>
      <c r="J16" s="34">
        <v>0</v>
      </c>
      <c r="K16" s="34">
        <v>-2000</v>
      </c>
      <c r="L16" s="34">
        <v>0</v>
      </c>
      <c r="M16" s="34">
        <v>8000</v>
      </c>
      <c r="N16" s="34">
        <v>22000</v>
      </c>
      <c r="O16" s="35">
        <v>-43000</v>
      </c>
      <c r="P16" s="35">
        <v>0</v>
      </c>
      <c r="Q16" s="35">
        <v>0</v>
      </c>
      <c r="R16" s="35">
        <v>0</v>
      </c>
      <c r="S16" s="35">
        <v>0</v>
      </c>
      <c r="T16" s="35">
        <v>0</v>
      </c>
      <c r="U16" s="34">
        <v>0</v>
      </c>
      <c r="V16" s="34">
        <v>0</v>
      </c>
      <c r="W16" s="34">
        <v>0</v>
      </c>
      <c r="X16" s="34">
        <v>0</v>
      </c>
      <c r="Y16" s="34">
        <v>0</v>
      </c>
      <c r="Z16" s="34">
        <v>0</v>
      </c>
      <c r="AA16" s="34">
        <v>0</v>
      </c>
      <c r="AB16" s="59">
        <v>-20000</v>
      </c>
      <c r="AC16" s="30">
        <f t="shared" si="0"/>
        <v>-8000</v>
      </c>
      <c r="AD16" s="30"/>
      <c r="AE16" s="30"/>
      <c r="AF16" s="30"/>
      <c r="AG16" s="30"/>
      <c r="AH16" s="30"/>
    </row>
    <row r="17" spans="1:34" x14ac:dyDescent="0.2">
      <c r="A17" s="27" t="s">
        <v>100</v>
      </c>
      <c r="B17" s="34">
        <v>113000</v>
      </c>
      <c r="C17" s="34">
        <v>37000</v>
      </c>
      <c r="D17" s="34">
        <v>47000</v>
      </c>
      <c r="E17" s="34">
        <v>0</v>
      </c>
      <c r="F17" s="34">
        <v>17000</v>
      </c>
      <c r="G17" s="34">
        <v>1000</v>
      </c>
      <c r="H17" s="34">
        <v>6000</v>
      </c>
      <c r="I17" s="34">
        <v>-116000</v>
      </c>
      <c r="J17" s="34">
        <v>17000</v>
      </c>
      <c r="K17" s="34">
        <v>0</v>
      </c>
      <c r="L17" s="34">
        <v>38000</v>
      </c>
      <c r="M17" s="34">
        <v>33000</v>
      </c>
      <c r="N17" s="34">
        <v>41000</v>
      </c>
      <c r="O17" s="35">
        <v>24000</v>
      </c>
      <c r="P17" s="35">
        <v>0</v>
      </c>
      <c r="Q17" s="35">
        <v>35000</v>
      </c>
      <c r="R17" s="35">
        <v>0</v>
      </c>
      <c r="S17" s="35">
        <v>0</v>
      </c>
      <c r="T17" s="35">
        <v>0</v>
      </c>
      <c r="U17" s="34">
        <v>0</v>
      </c>
      <c r="V17" s="34">
        <v>0</v>
      </c>
      <c r="W17" s="34">
        <v>0</v>
      </c>
      <c r="X17" s="34">
        <v>0</v>
      </c>
      <c r="Y17" s="34">
        <v>0</v>
      </c>
      <c r="Z17" s="34">
        <v>0</v>
      </c>
      <c r="AA17" s="34">
        <v>0</v>
      </c>
      <c r="AB17" s="59">
        <v>0</v>
      </c>
      <c r="AC17" s="30">
        <f t="shared" si="0"/>
        <v>293000</v>
      </c>
      <c r="AD17" s="30"/>
      <c r="AE17" s="30"/>
      <c r="AF17" s="30"/>
      <c r="AG17" s="30"/>
      <c r="AH17" s="30"/>
    </row>
    <row r="18" spans="1:34" x14ac:dyDescent="0.2">
      <c r="A18" s="27" t="s">
        <v>101</v>
      </c>
      <c r="B18" s="34">
        <v>0</v>
      </c>
      <c r="C18" s="34">
        <v>-4000</v>
      </c>
      <c r="D18" s="34">
        <v>-5000</v>
      </c>
      <c r="E18" s="34">
        <v>10000</v>
      </c>
      <c r="F18" s="34">
        <v>-6000</v>
      </c>
      <c r="G18" s="34">
        <v>0</v>
      </c>
      <c r="H18" s="34">
        <v>0</v>
      </c>
      <c r="I18" s="34">
        <v>0</v>
      </c>
      <c r="J18" s="34">
        <v>0</v>
      </c>
      <c r="K18" s="34">
        <v>0</v>
      </c>
      <c r="L18" s="34">
        <v>0</v>
      </c>
      <c r="M18" s="34">
        <v>0</v>
      </c>
      <c r="N18" s="34">
        <v>0</v>
      </c>
      <c r="O18" s="35">
        <v>0</v>
      </c>
      <c r="P18" s="35">
        <v>0</v>
      </c>
      <c r="Q18" s="35">
        <v>0</v>
      </c>
      <c r="R18" s="35">
        <v>0</v>
      </c>
      <c r="S18" s="35">
        <v>0</v>
      </c>
      <c r="T18" s="35">
        <v>-3000</v>
      </c>
      <c r="U18" s="34">
        <v>0</v>
      </c>
      <c r="V18" s="34">
        <v>0</v>
      </c>
      <c r="W18" s="34">
        <v>0</v>
      </c>
      <c r="X18" s="34">
        <v>0</v>
      </c>
      <c r="Y18" s="34">
        <v>0</v>
      </c>
      <c r="Z18" s="34">
        <v>0</v>
      </c>
      <c r="AA18" s="34">
        <v>0</v>
      </c>
      <c r="AB18" s="59">
        <v>0</v>
      </c>
      <c r="AC18" s="30">
        <f t="shared" si="0"/>
        <v>-8000</v>
      </c>
      <c r="AD18" s="30"/>
      <c r="AE18" s="30"/>
      <c r="AF18" s="30"/>
      <c r="AG18" s="30"/>
      <c r="AH18" s="30"/>
    </row>
    <row r="19" spans="1:34" x14ac:dyDescent="0.2">
      <c r="A19" s="27" t="s">
        <v>102</v>
      </c>
      <c r="B19" s="34">
        <v>-894000</v>
      </c>
      <c r="C19" s="34">
        <v>1988000</v>
      </c>
      <c r="D19" s="34">
        <v>-496000</v>
      </c>
      <c r="E19" s="34">
        <v>170000</v>
      </c>
      <c r="F19" s="34">
        <v>28000</v>
      </c>
      <c r="G19" s="34">
        <v>-13000</v>
      </c>
      <c r="H19" s="34">
        <v>-21000</v>
      </c>
      <c r="I19" s="34">
        <v>59000</v>
      </c>
      <c r="J19" s="34">
        <v>-40000</v>
      </c>
      <c r="K19" s="34">
        <v>227000</v>
      </c>
      <c r="L19" s="34">
        <v>119000</v>
      </c>
      <c r="M19" s="34">
        <v>-114000</v>
      </c>
      <c r="N19" s="34">
        <v>165000</v>
      </c>
      <c r="O19" s="35">
        <v>-242000</v>
      </c>
      <c r="P19" s="35">
        <v>37000</v>
      </c>
      <c r="Q19" s="35">
        <v>198000</v>
      </c>
      <c r="R19" s="35">
        <v>-136000</v>
      </c>
      <c r="S19" s="35">
        <v>-36000</v>
      </c>
      <c r="T19" s="35">
        <v>46000</v>
      </c>
      <c r="U19" s="34">
        <v>-61000</v>
      </c>
      <c r="V19" s="34">
        <v>0</v>
      </c>
      <c r="W19" s="34">
        <v>-9000</v>
      </c>
      <c r="X19" s="34">
        <v>-2000</v>
      </c>
      <c r="Y19" s="34">
        <v>13000</v>
      </c>
      <c r="Z19" s="34">
        <v>7000</v>
      </c>
      <c r="AA19" s="34">
        <v>-43000</v>
      </c>
      <c r="AB19" s="59">
        <v>-21000</v>
      </c>
      <c r="AC19" s="30">
        <f t="shared" si="0"/>
        <v>929000</v>
      </c>
      <c r="AD19" s="30"/>
      <c r="AE19" s="30"/>
      <c r="AF19" s="30"/>
      <c r="AG19" s="30"/>
      <c r="AH19" s="30"/>
    </row>
    <row r="20" spans="1:34" x14ac:dyDescent="0.2">
      <c r="A20" s="27" t="s">
        <v>103</v>
      </c>
      <c r="B20" s="34"/>
      <c r="C20" s="34"/>
      <c r="D20" s="34"/>
      <c r="E20" s="34"/>
      <c r="F20" s="34"/>
      <c r="G20" s="34"/>
      <c r="H20" s="34"/>
      <c r="I20" s="34"/>
      <c r="J20" s="34"/>
      <c r="K20" s="34"/>
      <c r="L20" s="34"/>
      <c r="M20" s="34"/>
      <c r="N20" s="34"/>
      <c r="O20" s="35"/>
      <c r="P20" s="35"/>
      <c r="Q20" s="35"/>
      <c r="R20" s="35"/>
      <c r="S20" s="35"/>
      <c r="T20" s="35"/>
      <c r="U20" s="34"/>
      <c r="V20" s="34"/>
      <c r="W20" s="34"/>
      <c r="X20" s="34"/>
      <c r="Y20" s="34"/>
      <c r="Z20" s="34"/>
      <c r="AA20" s="34"/>
      <c r="AB20" s="59"/>
      <c r="AC20" s="30"/>
      <c r="AD20" s="30"/>
      <c r="AE20" s="30"/>
      <c r="AF20" s="30"/>
      <c r="AG20" s="30"/>
      <c r="AH20" s="30"/>
    </row>
    <row r="21" spans="1:34" x14ac:dyDescent="0.2">
      <c r="A21" s="27" t="s">
        <v>104</v>
      </c>
      <c r="B21" s="34"/>
      <c r="C21" s="34"/>
      <c r="D21" s="34"/>
      <c r="E21" s="34"/>
      <c r="F21" s="34"/>
      <c r="G21" s="34"/>
      <c r="H21" s="34"/>
      <c r="I21" s="34"/>
      <c r="J21" s="34"/>
      <c r="K21" s="34"/>
      <c r="L21" s="34"/>
      <c r="M21" s="34"/>
      <c r="N21" s="34"/>
      <c r="O21" s="35"/>
      <c r="P21" s="35"/>
      <c r="Q21" s="35"/>
      <c r="R21" s="35"/>
      <c r="S21" s="35"/>
      <c r="T21" s="35"/>
      <c r="U21" s="34"/>
      <c r="V21" s="34"/>
      <c r="W21" s="34"/>
      <c r="X21" s="34"/>
      <c r="Y21" s="34"/>
      <c r="Z21" s="34"/>
      <c r="AA21" s="34"/>
      <c r="AB21" s="59"/>
      <c r="AC21" s="30"/>
      <c r="AD21" s="30"/>
      <c r="AE21" s="30"/>
      <c r="AF21" s="30"/>
      <c r="AG21" s="30"/>
      <c r="AH21" s="30"/>
    </row>
    <row r="22" spans="1:34" x14ac:dyDescent="0.2">
      <c r="A22" s="27" t="s">
        <v>105</v>
      </c>
      <c r="B22" s="34">
        <v>-326000</v>
      </c>
      <c r="C22" s="34">
        <v>-850000</v>
      </c>
      <c r="D22" s="34">
        <v>-266000</v>
      </c>
      <c r="E22" s="34">
        <v>-155000</v>
      </c>
      <c r="F22" s="34">
        <v>-701000</v>
      </c>
      <c r="G22" s="34">
        <v>62000</v>
      </c>
      <c r="H22" s="34">
        <v>98000</v>
      </c>
      <c r="I22" s="34">
        <v>31000</v>
      </c>
      <c r="J22" s="34">
        <v>-118000</v>
      </c>
      <c r="K22" s="34">
        <v>-244000</v>
      </c>
      <c r="L22" s="34">
        <v>-95000</v>
      </c>
      <c r="M22" s="34">
        <v>-287000</v>
      </c>
      <c r="N22" s="34">
        <v>-5000</v>
      </c>
      <c r="O22" s="34">
        <v>299000</v>
      </c>
      <c r="P22" s="34">
        <v>416000</v>
      </c>
      <c r="Q22" s="34">
        <v>213000</v>
      </c>
      <c r="R22" s="34">
        <v>102000</v>
      </c>
      <c r="S22" s="34">
        <v>-506000</v>
      </c>
      <c r="T22" s="34">
        <v>-181000</v>
      </c>
      <c r="U22" s="34">
        <v>336000</v>
      </c>
      <c r="V22" s="34">
        <v>177000</v>
      </c>
      <c r="W22" s="34">
        <v>-144000</v>
      </c>
      <c r="X22" s="34">
        <v>153000</v>
      </c>
      <c r="Y22" s="34">
        <v>-305000</v>
      </c>
      <c r="Z22" s="34">
        <v>-495000</v>
      </c>
      <c r="AA22" s="34">
        <v>-306000</v>
      </c>
      <c r="AB22" s="59">
        <v>-33000</v>
      </c>
      <c r="AC22" s="30">
        <f t="shared" si="0"/>
        <v>-3130000</v>
      </c>
      <c r="AD22" s="30"/>
      <c r="AE22" s="30"/>
      <c r="AF22" s="30"/>
      <c r="AG22" s="30"/>
      <c r="AH22" s="30"/>
    </row>
    <row r="23" spans="1:34" x14ac:dyDescent="0.2">
      <c r="A23" s="27" t="s">
        <v>106</v>
      </c>
      <c r="B23" s="34">
        <v>-2430000</v>
      </c>
      <c r="C23" s="34">
        <v>-557000</v>
      </c>
      <c r="D23" s="34">
        <v>-567000</v>
      </c>
      <c r="E23" s="34">
        <v>-1316000</v>
      </c>
      <c r="F23" s="34">
        <v>-980000</v>
      </c>
      <c r="G23" s="34">
        <v>660000</v>
      </c>
      <c r="H23" s="34">
        <v>-695000</v>
      </c>
      <c r="I23" s="34">
        <v>74000</v>
      </c>
      <c r="J23" s="34">
        <v>-177000</v>
      </c>
      <c r="K23" s="34">
        <v>277000</v>
      </c>
      <c r="L23" s="34">
        <v>-535000</v>
      </c>
      <c r="M23" s="34">
        <v>81000</v>
      </c>
      <c r="N23" s="34">
        <v>732000</v>
      </c>
      <c r="O23" s="35">
        <v>336000</v>
      </c>
      <c r="P23" s="35">
        <v>-41000</v>
      </c>
      <c r="Q23" s="35">
        <v>-825000</v>
      </c>
      <c r="R23" s="35">
        <v>-215000</v>
      </c>
      <c r="S23" s="35">
        <v>326000</v>
      </c>
      <c r="T23" s="35">
        <v>50000</v>
      </c>
      <c r="U23" s="34">
        <v>-2000</v>
      </c>
      <c r="V23" s="34">
        <v>331000</v>
      </c>
      <c r="W23" s="34">
        <v>-159000</v>
      </c>
      <c r="X23" s="34">
        <v>-406000</v>
      </c>
      <c r="Y23" s="34">
        <v>-538000</v>
      </c>
      <c r="Z23" s="34">
        <v>22000</v>
      </c>
      <c r="AA23" s="34">
        <v>-207000</v>
      </c>
      <c r="AB23" s="59">
        <v>34000</v>
      </c>
      <c r="AC23" s="30">
        <f t="shared" si="0"/>
        <v>-6727000</v>
      </c>
      <c r="AD23" s="30"/>
      <c r="AE23" s="30"/>
      <c r="AF23" s="30"/>
      <c r="AG23" s="30"/>
      <c r="AH23" s="30"/>
    </row>
    <row r="24" spans="1:34" x14ac:dyDescent="0.2">
      <c r="A24" s="27" t="s">
        <v>107</v>
      </c>
      <c r="B24" s="34">
        <v>-903000</v>
      </c>
      <c r="C24" s="34">
        <v>-67000</v>
      </c>
      <c r="D24" s="34">
        <v>-137000</v>
      </c>
      <c r="E24" s="34">
        <v>207000</v>
      </c>
      <c r="F24" s="34">
        <v>-403000</v>
      </c>
      <c r="G24" s="34">
        <v>-124000</v>
      </c>
      <c r="H24" s="34">
        <v>40000</v>
      </c>
      <c r="I24" s="34">
        <v>24000</v>
      </c>
      <c r="J24" s="34">
        <v>-65000</v>
      </c>
      <c r="K24" s="34">
        <v>80000</v>
      </c>
      <c r="L24" s="34">
        <v>10000</v>
      </c>
      <c r="M24" s="34">
        <v>-9000</v>
      </c>
      <c r="N24" s="34">
        <v>-62000</v>
      </c>
      <c r="O24" s="35">
        <v>22000</v>
      </c>
      <c r="P24" s="35">
        <v>22000</v>
      </c>
      <c r="Q24" s="35">
        <v>-8000</v>
      </c>
      <c r="R24" s="35">
        <v>-52000</v>
      </c>
      <c r="S24" s="35">
        <v>-7000</v>
      </c>
      <c r="T24" s="35">
        <v>75000</v>
      </c>
      <c r="U24" s="34">
        <v>-54000</v>
      </c>
      <c r="V24" s="34">
        <v>-33000</v>
      </c>
      <c r="W24" s="34">
        <v>3000</v>
      </c>
      <c r="X24" s="34">
        <v>11000</v>
      </c>
      <c r="Y24" s="34">
        <v>-19000</v>
      </c>
      <c r="Z24" s="34">
        <v>23000</v>
      </c>
      <c r="AA24" s="34">
        <v>-10000</v>
      </c>
      <c r="AB24" s="59">
        <v>-24000</v>
      </c>
      <c r="AC24" s="30">
        <f t="shared" si="0"/>
        <v>-1460000</v>
      </c>
      <c r="AD24" s="30"/>
      <c r="AE24" s="30"/>
      <c r="AF24" s="30"/>
      <c r="AG24" s="30"/>
      <c r="AH24" s="30"/>
    </row>
    <row r="25" spans="1:34" x14ac:dyDescent="0.2">
      <c r="A25" s="27" t="s">
        <v>108</v>
      </c>
      <c r="B25" s="34">
        <v>0</v>
      </c>
      <c r="C25" s="34">
        <v>2000</v>
      </c>
      <c r="D25" s="34">
        <v>-12000</v>
      </c>
      <c r="E25" s="34">
        <v>-5000</v>
      </c>
      <c r="F25" s="34">
        <v>2000</v>
      </c>
      <c r="G25" s="34">
        <v>-3000</v>
      </c>
      <c r="H25" s="34">
        <v>2000</v>
      </c>
      <c r="I25" s="34">
        <v>0</v>
      </c>
      <c r="J25" s="34">
        <v>-2000</v>
      </c>
      <c r="K25" s="34">
        <v>-1000</v>
      </c>
      <c r="L25" s="34">
        <v>0</v>
      </c>
      <c r="M25" s="34">
        <v>-1000</v>
      </c>
      <c r="N25" s="34">
        <v>1000</v>
      </c>
      <c r="O25" s="35">
        <v>0</v>
      </c>
      <c r="P25" s="35">
        <v>2000</v>
      </c>
      <c r="Q25" s="35">
        <v>-3000</v>
      </c>
      <c r="R25" s="35">
        <v>9000</v>
      </c>
      <c r="S25" s="35">
        <v>3000</v>
      </c>
      <c r="T25" s="35">
        <v>-3000</v>
      </c>
      <c r="U25" s="34">
        <v>2000</v>
      </c>
      <c r="V25" s="34">
        <v>4000</v>
      </c>
      <c r="W25" s="34">
        <v>118000</v>
      </c>
      <c r="X25" s="34">
        <v>-113000</v>
      </c>
      <c r="Y25" s="34">
        <v>109000</v>
      </c>
      <c r="Z25" s="34">
        <f>-98000</f>
        <v>-98000</v>
      </c>
      <c r="AA25" s="34">
        <v>-4000</v>
      </c>
      <c r="AB25" s="59">
        <v>-90000</v>
      </c>
      <c r="AC25" s="30">
        <f t="shared" si="0"/>
        <v>-81000</v>
      </c>
      <c r="AD25" s="35"/>
      <c r="AE25" s="35"/>
      <c r="AF25" s="35"/>
      <c r="AG25" s="35"/>
      <c r="AH25" s="35"/>
    </row>
    <row r="26" spans="1:34" x14ac:dyDescent="0.2">
      <c r="A26" s="27" t="s">
        <v>138</v>
      </c>
      <c r="B26" s="34">
        <v>0</v>
      </c>
      <c r="C26" s="34">
        <v>0</v>
      </c>
      <c r="D26" s="34">
        <v>0</v>
      </c>
      <c r="E26" s="34">
        <v>0</v>
      </c>
      <c r="F26" s="34">
        <v>0</v>
      </c>
      <c r="G26" s="34">
        <v>0</v>
      </c>
      <c r="H26" s="34">
        <v>0</v>
      </c>
      <c r="I26" s="34">
        <v>0</v>
      </c>
      <c r="J26" s="34">
        <v>0</v>
      </c>
      <c r="K26" s="34">
        <v>0</v>
      </c>
      <c r="L26" s="34">
        <v>0</v>
      </c>
      <c r="M26" s="34">
        <v>0</v>
      </c>
      <c r="N26" s="34">
        <v>0</v>
      </c>
      <c r="O26" s="35">
        <v>0</v>
      </c>
      <c r="P26" s="35">
        <v>2000</v>
      </c>
      <c r="Q26" s="35">
        <v>0</v>
      </c>
      <c r="R26" s="35">
        <v>0</v>
      </c>
      <c r="S26" s="35">
        <v>0</v>
      </c>
      <c r="T26" s="35">
        <v>0</v>
      </c>
      <c r="U26" s="34">
        <v>0</v>
      </c>
      <c r="V26" s="34">
        <v>0</v>
      </c>
      <c r="W26" s="34">
        <v>0</v>
      </c>
      <c r="X26" s="34">
        <v>0</v>
      </c>
      <c r="Y26" s="34">
        <v>0</v>
      </c>
      <c r="Z26" s="34">
        <v>0</v>
      </c>
      <c r="AA26" s="34">
        <v>0</v>
      </c>
      <c r="AB26" s="59">
        <v>0</v>
      </c>
      <c r="AC26" s="30">
        <f t="shared" si="0"/>
        <v>2000</v>
      </c>
      <c r="AD26" s="35"/>
      <c r="AE26" s="35"/>
      <c r="AF26" s="35"/>
      <c r="AG26" s="35"/>
      <c r="AH26" s="35"/>
    </row>
    <row r="27" spans="1:34" x14ac:dyDescent="0.2">
      <c r="A27" s="27" t="s">
        <v>139</v>
      </c>
      <c r="B27" s="34">
        <v>0</v>
      </c>
      <c r="C27" s="34">
        <v>0</v>
      </c>
      <c r="D27" s="34">
        <v>0</v>
      </c>
      <c r="E27" s="34">
        <v>0</v>
      </c>
      <c r="F27" s="34">
        <v>0</v>
      </c>
      <c r="G27" s="34">
        <v>0</v>
      </c>
      <c r="H27" s="34">
        <v>0</v>
      </c>
      <c r="I27" s="34">
        <v>0</v>
      </c>
      <c r="J27" s="34">
        <v>0</v>
      </c>
      <c r="K27" s="34">
        <v>0</v>
      </c>
      <c r="L27" s="34">
        <v>0</v>
      </c>
      <c r="M27" s="34">
        <v>0</v>
      </c>
      <c r="N27" s="34">
        <v>0</v>
      </c>
      <c r="O27" s="34">
        <v>0</v>
      </c>
      <c r="P27" s="34">
        <v>0</v>
      </c>
      <c r="Q27" s="35">
        <v>-60000</v>
      </c>
      <c r="R27" s="35">
        <v>0</v>
      </c>
      <c r="S27" s="35">
        <v>0</v>
      </c>
      <c r="T27" s="35">
        <v>0</v>
      </c>
      <c r="U27" s="34">
        <v>0</v>
      </c>
      <c r="V27" s="34">
        <v>0</v>
      </c>
      <c r="W27" s="34">
        <v>0</v>
      </c>
      <c r="X27" s="34">
        <v>0</v>
      </c>
      <c r="Y27" s="34">
        <v>0</v>
      </c>
      <c r="Z27" s="34">
        <v>0</v>
      </c>
      <c r="AA27" s="34">
        <v>0</v>
      </c>
      <c r="AB27" s="59">
        <v>0</v>
      </c>
      <c r="AC27" s="30">
        <f t="shared" si="0"/>
        <v>-60000</v>
      </c>
      <c r="AD27" s="35"/>
      <c r="AE27" s="35"/>
      <c r="AF27" s="35"/>
      <c r="AG27" s="35"/>
      <c r="AH27" s="35"/>
    </row>
    <row r="28" spans="1:34" x14ac:dyDescent="0.2">
      <c r="A28" s="27" t="s">
        <v>128</v>
      </c>
      <c r="B28" s="34">
        <v>0</v>
      </c>
      <c r="C28" s="34">
        <v>0</v>
      </c>
      <c r="D28" s="34">
        <v>203000</v>
      </c>
      <c r="E28" s="34">
        <v>489000</v>
      </c>
      <c r="F28" s="34">
        <v>-494000</v>
      </c>
      <c r="G28" s="34">
        <v>-55000</v>
      </c>
      <c r="H28" s="34">
        <v>335000</v>
      </c>
      <c r="I28" s="34">
        <v>-609000</v>
      </c>
      <c r="J28" s="34">
        <v>0</v>
      </c>
      <c r="K28" s="34">
        <v>-593000</v>
      </c>
      <c r="L28" s="34">
        <v>0</v>
      </c>
      <c r="M28" s="34">
        <v>0</v>
      </c>
      <c r="N28" s="34">
        <v>-79000</v>
      </c>
      <c r="O28" s="35">
        <v>334000</v>
      </c>
      <c r="P28" s="35">
        <v>-334000</v>
      </c>
      <c r="Q28" s="35">
        <v>133000</v>
      </c>
      <c r="R28" s="35">
        <v>-371000</v>
      </c>
      <c r="S28" s="35">
        <v>0</v>
      </c>
      <c r="T28" s="35">
        <v>-59000</v>
      </c>
      <c r="U28" s="34">
        <v>65000</v>
      </c>
      <c r="V28" s="34">
        <v>-139000</v>
      </c>
      <c r="W28" s="34">
        <v>3000</v>
      </c>
      <c r="X28" s="34">
        <v>64000</v>
      </c>
      <c r="Y28" s="34">
        <v>-111000</v>
      </c>
      <c r="Z28" s="34">
        <v>0</v>
      </c>
      <c r="AA28" s="34">
        <v>-9000</v>
      </c>
      <c r="AB28" s="59">
        <v>-68000</v>
      </c>
      <c r="AC28" s="30">
        <f t="shared" si="0"/>
        <v>-1295000</v>
      </c>
      <c r="AD28" s="35"/>
      <c r="AE28" s="35"/>
      <c r="AF28" s="35"/>
      <c r="AG28" s="35"/>
      <c r="AH28" s="35"/>
    </row>
    <row r="29" spans="1:34" x14ac:dyDescent="0.2">
      <c r="A29" s="27" t="s">
        <v>109</v>
      </c>
      <c r="B29" s="34"/>
      <c r="C29" s="34"/>
      <c r="D29" s="34"/>
      <c r="E29" s="34"/>
      <c r="F29" s="34"/>
      <c r="G29" s="34"/>
      <c r="H29" s="34"/>
      <c r="I29" s="34"/>
      <c r="J29" s="34"/>
      <c r="K29" s="34"/>
      <c r="L29" s="34"/>
      <c r="M29" s="34"/>
      <c r="N29" s="34"/>
      <c r="O29" s="35"/>
      <c r="P29" s="35"/>
      <c r="Q29" s="35"/>
      <c r="R29" s="35"/>
      <c r="S29" s="35"/>
      <c r="T29" s="35"/>
      <c r="U29" s="34"/>
      <c r="V29" s="34"/>
      <c r="W29" s="34"/>
      <c r="X29" s="34"/>
      <c r="Y29" s="34"/>
      <c r="Z29" s="34"/>
      <c r="AA29" s="34"/>
      <c r="AB29" s="59"/>
      <c r="AC29" s="30"/>
      <c r="AD29" s="35"/>
      <c r="AE29" s="35"/>
      <c r="AF29" s="35"/>
      <c r="AG29" s="35"/>
      <c r="AH29" s="35"/>
    </row>
    <row r="30" spans="1:34" x14ac:dyDescent="0.2">
      <c r="A30" s="27" t="s">
        <v>110</v>
      </c>
      <c r="B30" s="34">
        <v>-157000</v>
      </c>
      <c r="C30" s="34">
        <v>291000</v>
      </c>
      <c r="D30" s="34">
        <v>-19000</v>
      </c>
      <c r="E30" s="34">
        <v>-130000</v>
      </c>
      <c r="F30" s="34">
        <v>268000</v>
      </c>
      <c r="G30" s="34">
        <v>38000</v>
      </c>
      <c r="H30" s="34">
        <v>-79000</v>
      </c>
      <c r="I30" s="34">
        <v>1000</v>
      </c>
      <c r="J30" s="34">
        <v>41000</v>
      </c>
      <c r="K30" s="34">
        <v>-28000</v>
      </c>
      <c r="L30" s="34">
        <v>-32000</v>
      </c>
      <c r="M30" s="34">
        <v>71000</v>
      </c>
      <c r="N30" s="34">
        <v>22000</v>
      </c>
      <c r="O30" s="35">
        <v>-32000</v>
      </c>
      <c r="P30" s="35">
        <v>-60000</v>
      </c>
      <c r="Q30" s="35">
        <v>-13000</v>
      </c>
      <c r="R30" s="35">
        <v>2000</v>
      </c>
      <c r="S30" s="35">
        <v>46000</v>
      </c>
      <c r="T30" s="35">
        <v>-37000</v>
      </c>
      <c r="U30" s="34">
        <v>25000</v>
      </c>
      <c r="V30" s="34">
        <v>-77000</v>
      </c>
      <c r="W30" s="34">
        <v>138000</v>
      </c>
      <c r="X30" s="34">
        <v>-5000</v>
      </c>
      <c r="Y30" s="34">
        <v>-150000</v>
      </c>
      <c r="Z30" s="34">
        <v>-1000</v>
      </c>
      <c r="AA30" s="34">
        <v>138000</v>
      </c>
      <c r="AB30" s="59">
        <v>-49000</v>
      </c>
      <c r="AC30" s="30">
        <f t="shared" si="0"/>
        <v>212000</v>
      </c>
      <c r="AD30" s="30"/>
      <c r="AE30" s="30"/>
      <c r="AF30" s="30"/>
      <c r="AG30" s="30"/>
      <c r="AH30" s="30"/>
    </row>
    <row r="31" spans="1:34" x14ac:dyDescent="0.2">
      <c r="A31" s="27" t="s">
        <v>111</v>
      </c>
      <c r="B31" s="34">
        <v>-5000</v>
      </c>
      <c r="C31" s="34">
        <v>-91000</v>
      </c>
      <c r="D31" s="34">
        <v>94000</v>
      </c>
      <c r="E31" s="34">
        <v>15000</v>
      </c>
      <c r="F31" s="34">
        <v>33000</v>
      </c>
      <c r="G31" s="34">
        <v>-12000</v>
      </c>
      <c r="H31" s="34">
        <v>14000</v>
      </c>
      <c r="I31" s="34">
        <v>28000</v>
      </c>
      <c r="J31" s="34">
        <v>19000</v>
      </c>
      <c r="K31" s="34">
        <v>47000</v>
      </c>
      <c r="L31" s="34">
        <v>0</v>
      </c>
      <c r="M31" s="34">
        <v>13000</v>
      </c>
      <c r="N31" s="34">
        <v>-108000</v>
      </c>
      <c r="O31" s="35">
        <v>-15000</v>
      </c>
      <c r="P31" s="35">
        <v>-15000</v>
      </c>
      <c r="Q31" s="35">
        <v>-29000</v>
      </c>
      <c r="R31" s="35">
        <v>15000</v>
      </c>
      <c r="S31" s="35">
        <v>34000</v>
      </c>
      <c r="T31" s="35">
        <v>28000</v>
      </c>
      <c r="U31" s="34">
        <v>43000</v>
      </c>
      <c r="V31" s="34">
        <v>-12000</v>
      </c>
      <c r="W31" s="34">
        <v>-51000</v>
      </c>
      <c r="X31" s="34">
        <v>-17000</v>
      </c>
      <c r="Y31" s="34">
        <v>23000</v>
      </c>
      <c r="Z31" s="34">
        <v>-27000</v>
      </c>
      <c r="AA31" s="34">
        <v>-35000</v>
      </c>
      <c r="AB31" s="59">
        <v>-9000</v>
      </c>
      <c r="AC31" s="30">
        <f t="shared" si="0"/>
        <v>-20000</v>
      </c>
      <c r="AD31" s="30"/>
      <c r="AE31" s="30"/>
      <c r="AF31" s="30"/>
      <c r="AG31" s="30"/>
      <c r="AH31" s="30"/>
    </row>
    <row r="32" spans="1:34" x14ac:dyDescent="0.2">
      <c r="A32" s="27" t="s">
        <v>112</v>
      </c>
      <c r="B32" s="34">
        <v>196000</v>
      </c>
      <c r="C32" s="34">
        <v>137000</v>
      </c>
      <c r="D32" s="34">
        <v>0</v>
      </c>
      <c r="E32" s="34">
        <v>0</v>
      </c>
      <c r="F32" s="34">
        <v>0</v>
      </c>
      <c r="G32" s="34">
        <v>0</v>
      </c>
      <c r="H32" s="34">
        <v>0</v>
      </c>
      <c r="I32" s="34">
        <v>0</v>
      </c>
      <c r="J32" s="34">
        <v>422000</v>
      </c>
      <c r="K32" s="34">
        <v>0</v>
      </c>
      <c r="L32" s="34">
        <v>210000</v>
      </c>
      <c r="M32" s="34">
        <v>252000</v>
      </c>
      <c r="N32" s="34">
        <v>0</v>
      </c>
      <c r="O32" s="35">
        <v>0</v>
      </c>
      <c r="P32" s="35">
        <v>0</v>
      </c>
      <c r="Q32" s="35">
        <v>0</v>
      </c>
      <c r="R32" s="35">
        <v>0</v>
      </c>
      <c r="S32" s="35">
        <v>230000</v>
      </c>
      <c r="T32" s="35">
        <v>0</v>
      </c>
      <c r="U32" s="34">
        <v>0</v>
      </c>
      <c r="V32" s="34">
        <v>0</v>
      </c>
      <c r="W32" s="34">
        <v>47000</v>
      </c>
      <c r="X32" s="34">
        <v>-125000</v>
      </c>
      <c r="Y32" s="34">
        <v>67000</v>
      </c>
      <c r="Z32" s="34">
        <v>108000</v>
      </c>
      <c r="AA32" s="34">
        <v>44000</v>
      </c>
      <c r="AB32" s="59">
        <v>10000</v>
      </c>
      <c r="AC32" s="30">
        <f t="shared" si="0"/>
        <v>1598000</v>
      </c>
      <c r="AD32" s="30"/>
      <c r="AE32" s="30"/>
      <c r="AF32" s="30"/>
      <c r="AG32" s="30"/>
      <c r="AH32" s="30"/>
    </row>
    <row r="33" spans="1:34" x14ac:dyDescent="0.2">
      <c r="A33" s="28" t="s">
        <v>113</v>
      </c>
      <c r="B33" s="41">
        <f>SUM(B7:B32)</f>
        <v>1969000</v>
      </c>
      <c r="C33" s="41">
        <f t="shared" ref="C33:AC33" si="1">SUM(C7:C32)</f>
        <v>3792000</v>
      </c>
      <c r="D33" s="41">
        <f t="shared" si="1"/>
        <v>3320000</v>
      </c>
      <c r="E33" s="41">
        <f t="shared" si="1"/>
        <v>2735000</v>
      </c>
      <c r="F33" s="41">
        <f t="shared" si="1"/>
        <v>370000</v>
      </c>
      <c r="G33" s="41">
        <f t="shared" si="1"/>
        <v>3184000</v>
      </c>
      <c r="H33" s="41">
        <f t="shared" si="1"/>
        <v>2894000</v>
      </c>
      <c r="I33" s="41">
        <f t="shared" si="1"/>
        <v>2480000</v>
      </c>
      <c r="J33" s="41">
        <f t="shared" si="1"/>
        <v>2991000</v>
      </c>
      <c r="K33" s="41">
        <f t="shared" si="1"/>
        <v>2198000</v>
      </c>
      <c r="L33" s="41">
        <f t="shared" si="1"/>
        <v>2460000</v>
      </c>
      <c r="M33" s="41">
        <f t="shared" si="1"/>
        <v>2057000</v>
      </c>
      <c r="N33" s="41">
        <f t="shared" si="1"/>
        <v>2154000</v>
      </c>
      <c r="O33" s="41">
        <f t="shared" si="1"/>
        <v>2748000</v>
      </c>
      <c r="P33" s="41">
        <f t="shared" si="1"/>
        <v>2587000</v>
      </c>
      <c r="Q33" s="41">
        <f t="shared" si="1"/>
        <v>2614000</v>
      </c>
      <c r="R33" s="41">
        <f>SUM(R7:R32)</f>
        <v>2623000</v>
      </c>
      <c r="S33" s="41">
        <f t="shared" si="1"/>
        <v>2896000</v>
      </c>
      <c r="T33" s="41">
        <f t="shared" si="1"/>
        <v>2450000</v>
      </c>
      <c r="U33" s="41">
        <f t="shared" si="1"/>
        <v>2960000</v>
      </c>
      <c r="V33" s="41">
        <f t="shared" si="1"/>
        <v>1791000</v>
      </c>
      <c r="W33" s="41">
        <f t="shared" si="1"/>
        <v>1297000</v>
      </c>
      <c r="X33" s="41">
        <f t="shared" si="1"/>
        <v>2128000</v>
      </c>
      <c r="Y33" s="41">
        <f t="shared" si="1"/>
        <v>1684000</v>
      </c>
      <c r="Z33" s="41">
        <f t="shared" si="1"/>
        <v>1497000</v>
      </c>
      <c r="AA33" s="41">
        <f t="shared" si="1"/>
        <v>1280000</v>
      </c>
      <c r="AB33" s="61">
        <f t="shared" si="1"/>
        <v>1097000</v>
      </c>
      <c r="AC33" s="41">
        <f t="shared" si="1"/>
        <v>62256000</v>
      </c>
      <c r="AD33" s="30"/>
      <c r="AE33" s="30"/>
      <c r="AF33" s="30"/>
      <c r="AG33" s="30"/>
      <c r="AH33" s="30"/>
    </row>
    <row r="34" spans="1:34" x14ac:dyDescent="0.2">
      <c r="A34" s="28" t="s">
        <v>114</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59"/>
      <c r="AC34" s="30"/>
      <c r="AD34" s="30"/>
      <c r="AE34" s="30"/>
      <c r="AF34" s="30"/>
      <c r="AG34" s="30"/>
      <c r="AH34" s="30"/>
    </row>
    <row r="35" spans="1:34" x14ac:dyDescent="0.2">
      <c r="A35" s="27" t="s">
        <v>134</v>
      </c>
      <c r="B35" s="34">
        <v>0</v>
      </c>
      <c r="C35" s="34">
        <v>0</v>
      </c>
      <c r="D35" s="34">
        <v>0</v>
      </c>
      <c r="E35" s="34">
        <v>0</v>
      </c>
      <c r="F35" s="34">
        <v>0</v>
      </c>
      <c r="G35" s="34">
        <v>0</v>
      </c>
      <c r="H35" s="34">
        <v>0</v>
      </c>
      <c r="I35" s="34">
        <v>-15000</v>
      </c>
      <c r="J35" s="34">
        <v>-4000</v>
      </c>
      <c r="K35" s="34">
        <v>1000</v>
      </c>
      <c r="L35" s="34">
        <v>169000</v>
      </c>
      <c r="M35" s="34">
        <v>-101000</v>
      </c>
      <c r="N35" s="34">
        <v>-44000</v>
      </c>
      <c r="O35" s="34">
        <v>0</v>
      </c>
      <c r="P35" s="34">
        <v>25000</v>
      </c>
      <c r="Q35" s="34">
        <v>-62000</v>
      </c>
      <c r="R35" s="34">
        <v>4000</v>
      </c>
      <c r="S35" s="34">
        <v>11000</v>
      </c>
      <c r="T35" s="34">
        <v>34000</v>
      </c>
      <c r="U35" s="34">
        <v>-50000</v>
      </c>
      <c r="V35" s="34">
        <v>5000</v>
      </c>
      <c r="W35" s="34">
        <v>-3000</v>
      </c>
      <c r="X35" s="34">
        <v>19000</v>
      </c>
      <c r="Y35" s="34">
        <v>-91000</v>
      </c>
      <c r="Z35" s="34">
        <v>0</v>
      </c>
      <c r="AA35" s="34">
        <v>0</v>
      </c>
      <c r="AB35" s="59">
        <v>0</v>
      </c>
      <c r="AC35" s="30">
        <f t="shared" ref="AC35:AC44" si="2">SUM(B35:AB35)</f>
        <v>-102000</v>
      </c>
      <c r="AD35" s="30"/>
      <c r="AE35" s="30"/>
      <c r="AF35" s="30"/>
      <c r="AG35" s="30"/>
      <c r="AH35" s="30"/>
    </row>
    <row r="36" spans="1:34" x14ac:dyDescent="0.2">
      <c r="A36" s="27" t="s">
        <v>115</v>
      </c>
      <c r="B36" s="34">
        <v>0</v>
      </c>
      <c r="C36" s="34">
        <v>4000</v>
      </c>
      <c r="D36" s="34">
        <v>5000</v>
      </c>
      <c r="E36" s="34">
        <v>5000</v>
      </c>
      <c r="F36" s="34">
        <v>6000</v>
      </c>
      <c r="G36" s="34">
        <v>0</v>
      </c>
      <c r="H36" s="34">
        <v>0</v>
      </c>
      <c r="I36" s="34">
        <v>5000</v>
      </c>
      <c r="J36" s="34">
        <v>127000</v>
      </c>
      <c r="K36" s="34">
        <v>0</v>
      </c>
      <c r="L36" s="34">
        <v>20000</v>
      </c>
      <c r="M36" s="34">
        <v>0</v>
      </c>
      <c r="N36" s="34">
        <v>0</v>
      </c>
      <c r="O36" s="35">
        <v>0</v>
      </c>
      <c r="P36" s="35">
        <v>0</v>
      </c>
      <c r="Q36" s="35">
        <v>0</v>
      </c>
      <c r="R36" s="35">
        <v>12000</v>
      </c>
      <c r="S36" s="35">
        <v>3000</v>
      </c>
      <c r="T36" s="35">
        <v>12000</v>
      </c>
      <c r="U36" s="34">
        <v>0</v>
      </c>
      <c r="V36" s="34">
        <v>0</v>
      </c>
      <c r="W36" s="34">
        <v>0</v>
      </c>
      <c r="X36" s="34">
        <v>0</v>
      </c>
      <c r="Y36" s="34">
        <v>0</v>
      </c>
      <c r="Z36" s="34">
        <v>0</v>
      </c>
      <c r="AA36" s="34">
        <v>0</v>
      </c>
      <c r="AB36" s="59">
        <v>0</v>
      </c>
      <c r="AC36" s="30">
        <f t="shared" si="2"/>
        <v>199000</v>
      </c>
      <c r="AD36" s="30"/>
      <c r="AE36" s="30"/>
      <c r="AF36" s="30"/>
      <c r="AG36" s="30"/>
      <c r="AH36" s="30"/>
    </row>
    <row r="37" spans="1:34" x14ac:dyDescent="0.2">
      <c r="A37" s="27" t="s">
        <v>116</v>
      </c>
      <c r="B37" s="34">
        <v>-390000</v>
      </c>
      <c r="C37" s="34">
        <v>-517000</v>
      </c>
      <c r="D37" s="34">
        <v>-731000</v>
      </c>
      <c r="E37" s="34">
        <v>-154000</v>
      </c>
      <c r="F37" s="34">
        <v>-533000</v>
      </c>
      <c r="G37" s="34">
        <v>-115000</v>
      </c>
      <c r="H37" s="34">
        <v>-288000</v>
      </c>
      <c r="I37" s="34">
        <v>-186000</v>
      </c>
      <c r="J37" s="34">
        <v>-81000</v>
      </c>
      <c r="K37" s="34">
        <v>-104000</v>
      </c>
      <c r="L37" s="34">
        <v>-298000</v>
      </c>
      <c r="M37" s="34">
        <v>-60000</v>
      </c>
      <c r="N37" s="34">
        <v>-98000</v>
      </c>
      <c r="O37" s="35">
        <v>-143000</v>
      </c>
      <c r="P37" s="35">
        <v>-176000</v>
      </c>
      <c r="Q37" s="35">
        <v>-82000</v>
      </c>
      <c r="R37" s="35">
        <v>-335000</v>
      </c>
      <c r="S37" s="35">
        <v>-158000</v>
      </c>
      <c r="T37" s="35">
        <v>-191000</v>
      </c>
      <c r="U37" s="34">
        <v>-84000</v>
      </c>
      <c r="V37" s="34">
        <v>-184000</v>
      </c>
      <c r="W37" s="34">
        <v>-149000</v>
      </c>
      <c r="X37" s="34">
        <v>-653000</v>
      </c>
      <c r="Y37" s="34">
        <v>-244000</v>
      </c>
      <c r="Z37" s="34">
        <v>-108000</v>
      </c>
      <c r="AA37" s="34">
        <v>-232000</v>
      </c>
      <c r="AB37" s="59">
        <v>-62000</v>
      </c>
      <c r="AC37" s="30">
        <f t="shared" si="2"/>
        <v>-6356000</v>
      </c>
    </row>
    <row r="38" spans="1:34" x14ac:dyDescent="0.2">
      <c r="A38" s="27" t="s">
        <v>117</v>
      </c>
      <c r="B38" s="34">
        <v>452000</v>
      </c>
      <c r="C38" s="34">
        <v>21000</v>
      </c>
      <c r="D38" s="34">
        <v>776000</v>
      </c>
      <c r="E38" s="34">
        <v>766000</v>
      </c>
      <c r="F38" s="34">
        <v>2033000</v>
      </c>
      <c r="G38" s="34">
        <v>587000</v>
      </c>
      <c r="H38" s="34">
        <v>64000</v>
      </c>
      <c r="I38" s="34">
        <v>33000</v>
      </c>
      <c r="J38" s="34">
        <v>5000</v>
      </c>
      <c r="K38" s="34">
        <v>89000</v>
      </c>
      <c r="L38" s="34">
        <v>168000</v>
      </c>
      <c r="M38" s="34">
        <v>1592000</v>
      </c>
      <c r="N38" s="34">
        <v>747000</v>
      </c>
      <c r="O38" s="35">
        <v>260000</v>
      </c>
      <c r="P38" s="35">
        <v>5510000</v>
      </c>
      <c r="Q38" s="35">
        <v>8387000</v>
      </c>
      <c r="R38" s="35">
        <v>2751000</v>
      </c>
      <c r="S38" s="35">
        <v>3655000</v>
      </c>
      <c r="T38" s="35">
        <v>1003000</v>
      </c>
      <c r="U38" s="34">
        <v>2027000</v>
      </c>
      <c r="V38" s="35">
        <v>0</v>
      </c>
      <c r="W38" s="34">
        <v>422000</v>
      </c>
      <c r="X38" s="34">
        <v>0</v>
      </c>
      <c r="Y38" s="34">
        <v>0</v>
      </c>
      <c r="Z38" s="34">
        <v>0</v>
      </c>
      <c r="AA38" s="34">
        <v>0</v>
      </c>
      <c r="AB38" s="59">
        <v>0</v>
      </c>
      <c r="AC38" s="30">
        <f t="shared" si="2"/>
        <v>31348000</v>
      </c>
    </row>
    <row r="39" spans="1:34" x14ac:dyDescent="0.2">
      <c r="A39" s="27" t="s">
        <v>118</v>
      </c>
      <c r="B39" s="35">
        <v>-787000</v>
      </c>
      <c r="C39" s="35">
        <v>-506000</v>
      </c>
      <c r="D39" s="35">
        <v>-831000</v>
      </c>
      <c r="E39" s="35">
        <v>-942000</v>
      </c>
      <c r="F39" s="35">
        <v>-767000</v>
      </c>
      <c r="G39" s="35">
        <v>-947000</v>
      </c>
      <c r="H39" s="35">
        <v>-864000</v>
      </c>
      <c r="I39" s="35">
        <v>-986000</v>
      </c>
      <c r="J39" s="35">
        <v>-620000</v>
      </c>
      <c r="K39" s="35">
        <v>-760000</v>
      </c>
      <c r="L39" s="35">
        <v>-891000</v>
      </c>
      <c r="M39" s="34">
        <v>-868000</v>
      </c>
      <c r="N39" s="34">
        <v>-2748000</v>
      </c>
      <c r="O39" s="35">
        <v>-1296000</v>
      </c>
      <c r="P39" s="35">
        <v>-6868000</v>
      </c>
      <c r="Q39" s="35">
        <v>-10922000</v>
      </c>
      <c r="R39" s="35">
        <v>-4323000</v>
      </c>
      <c r="S39" s="35">
        <v>-4696000</v>
      </c>
      <c r="T39" s="35">
        <v>-1567000</v>
      </c>
      <c r="U39" s="34">
        <v>-3044000</v>
      </c>
      <c r="V39" s="34">
        <v>-2472000</v>
      </c>
      <c r="W39" s="34">
        <v>0</v>
      </c>
      <c r="X39" s="34">
        <v>-1175000</v>
      </c>
      <c r="Y39" s="34">
        <v>-1001000</v>
      </c>
      <c r="Z39" s="34">
        <v>-1033000</v>
      </c>
      <c r="AA39" s="34">
        <v>-1275000</v>
      </c>
      <c r="AB39" s="59">
        <v>-526000</v>
      </c>
      <c r="AC39" s="30">
        <f t="shared" si="2"/>
        <v>-52715000</v>
      </c>
    </row>
    <row r="40" spans="1:34" x14ac:dyDescent="0.2">
      <c r="A40" s="27" t="s">
        <v>141</v>
      </c>
      <c r="B40" s="35">
        <v>0</v>
      </c>
      <c r="C40" s="35">
        <v>0</v>
      </c>
      <c r="D40" s="35">
        <v>0</v>
      </c>
      <c r="E40" s="35">
        <v>0</v>
      </c>
      <c r="F40" s="35">
        <v>0</v>
      </c>
      <c r="G40" s="35">
        <v>0</v>
      </c>
      <c r="H40" s="35">
        <v>0</v>
      </c>
      <c r="I40" s="35">
        <v>0</v>
      </c>
      <c r="J40" s="35">
        <v>0</v>
      </c>
      <c r="K40" s="35">
        <v>0</v>
      </c>
      <c r="L40" s="35">
        <v>0</v>
      </c>
      <c r="M40" s="35">
        <v>0</v>
      </c>
      <c r="N40" s="35">
        <v>0</v>
      </c>
      <c r="O40" s="35">
        <v>0</v>
      </c>
      <c r="P40" s="35">
        <v>0</v>
      </c>
      <c r="Q40" s="35">
        <v>0</v>
      </c>
      <c r="R40" s="35">
        <v>0</v>
      </c>
      <c r="S40" s="35">
        <v>0</v>
      </c>
      <c r="T40" s="35">
        <v>0</v>
      </c>
      <c r="U40" s="34">
        <v>-200000</v>
      </c>
      <c r="V40" s="34">
        <v>0</v>
      </c>
      <c r="W40" s="34">
        <v>0</v>
      </c>
      <c r="X40" s="34">
        <v>0</v>
      </c>
      <c r="Y40" s="34">
        <v>0</v>
      </c>
      <c r="Z40" s="34">
        <v>0</v>
      </c>
      <c r="AA40" s="34">
        <v>0</v>
      </c>
      <c r="AB40" s="59">
        <v>0</v>
      </c>
      <c r="AC40" s="30">
        <f t="shared" si="2"/>
        <v>-200000</v>
      </c>
    </row>
    <row r="41" spans="1:34" x14ac:dyDescent="0.2">
      <c r="A41" s="27" t="s">
        <v>130</v>
      </c>
      <c r="B41" s="35">
        <v>0</v>
      </c>
      <c r="C41" s="35">
        <v>0</v>
      </c>
      <c r="D41" s="35">
        <v>0</v>
      </c>
      <c r="E41" s="35">
        <v>0</v>
      </c>
      <c r="F41" s="35">
        <v>-1624000</v>
      </c>
      <c r="G41" s="35">
        <v>0</v>
      </c>
      <c r="H41" s="35">
        <v>0</v>
      </c>
      <c r="I41" s="35">
        <v>0</v>
      </c>
      <c r="J41" s="35">
        <v>0</v>
      </c>
      <c r="K41" s="35">
        <v>0</v>
      </c>
      <c r="L41" s="35">
        <v>0</v>
      </c>
      <c r="M41" s="34">
        <v>0</v>
      </c>
      <c r="N41" s="34">
        <v>0</v>
      </c>
      <c r="O41" s="35">
        <v>0</v>
      </c>
      <c r="P41" s="35">
        <v>0</v>
      </c>
      <c r="Q41" s="35">
        <v>0</v>
      </c>
      <c r="R41" s="35">
        <v>0</v>
      </c>
      <c r="S41" s="35">
        <v>0</v>
      </c>
      <c r="T41" s="35">
        <v>0</v>
      </c>
      <c r="U41" s="34">
        <v>0</v>
      </c>
      <c r="V41" s="34">
        <v>0</v>
      </c>
      <c r="W41" s="34">
        <v>0</v>
      </c>
      <c r="X41" s="34">
        <v>0</v>
      </c>
      <c r="Y41" s="34">
        <v>0</v>
      </c>
      <c r="Z41" s="34">
        <v>0</v>
      </c>
      <c r="AA41" s="34">
        <v>0</v>
      </c>
      <c r="AB41" s="59">
        <v>0</v>
      </c>
      <c r="AC41" s="30">
        <f t="shared" si="2"/>
        <v>-1624000</v>
      </c>
    </row>
    <row r="42" spans="1:34" x14ac:dyDescent="0.2">
      <c r="A42" s="27" t="s">
        <v>119</v>
      </c>
      <c r="B42" s="35">
        <v>-24000</v>
      </c>
      <c r="C42" s="35">
        <v>0</v>
      </c>
      <c r="D42" s="35">
        <v>-27000</v>
      </c>
      <c r="E42" s="35">
        <v>0</v>
      </c>
      <c r="F42" s="35">
        <v>-20000</v>
      </c>
      <c r="G42" s="35">
        <v>-20000</v>
      </c>
      <c r="H42" s="35">
        <v>0</v>
      </c>
      <c r="I42" s="35">
        <v>-15000</v>
      </c>
      <c r="J42" s="35">
        <v>0</v>
      </c>
      <c r="K42" s="35">
        <v>-10000</v>
      </c>
      <c r="L42" s="35">
        <v>-10000</v>
      </c>
      <c r="M42" s="35">
        <v>-18000</v>
      </c>
      <c r="N42" s="35">
        <v>0</v>
      </c>
      <c r="O42" s="35">
        <v>0</v>
      </c>
      <c r="P42" s="35">
        <v>0</v>
      </c>
      <c r="Q42" s="35">
        <v>0</v>
      </c>
      <c r="R42" s="35">
        <v>0</v>
      </c>
      <c r="S42" s="35">
        <v>0</v>
      </c>
      <c r="T42" s="35">
        <v>0</v>
      </c>
      <c r="U42" s="35">
        <v>0</v>
      </c>
      <c r="V42" s="35">
        <v>0</v>
      </c>
      <c r="W42" s="35">
        <v>0</v>
      </c>
      <c r="X42" s="35">
        <v>0</v>
      </c>
      <c r="Y42" s="35">
        <v>0</v>
      </c>
      <c r="Z42" s="35">
        <v>0</v>
      </c>
      <c r="AA42" s="35">
        <v>0</v>
      </c>
      <c r="AB42" s="62">
        <v>0</v>
      </c>
      <c r="AC42" s="30">
        <f t="shared" si="2"/>
        <v>-144000</v>
      </c>
    </row>
    <row r="43" spans="1:34" x14ac:dyDescent="0.2">
      <c r="A43" s="27" t="s">
        <v>135</v>
      </c>
      <c r="B43" s="35">
        <v>0</v>
      </c>
      <c r="C43" s="35">
        <v>0</v>
      </c>
      <c r="D43" s="35">
        <v>0</v>
      </c>
      <c r="E43" s="35">
        <v>0</v>
      </c>
      <c r="F43" s="35">
        <v>0</v>
      </c>
      <c r="G43" s="35">
        <v>0</v>
      </c>
      <c r="H43" s="35">
        <v>0</v>
      </c>
      <c r="I43" s="35">
        <v>-2000</v>
      </c>
      <c r="J43" s="35">
        <v>0</v>
      </c>
      <c r="K43" s="35">
        <v>-3000</v>
      </c>
      <c r="L43" s="35">
        <v>-10000</v>
      </c>
      <c r="M43" s="35">
        <v>0</v>
      </c>
      <c r="N43" s="35">
        <v>0</v>
      </c>
      <c r="O43" s="35">
        <v>0</v>
      </c>
      <c r="P43" s="35">
        <v>0</v>
      </c>
      <c r="Q43" s="35">
        <v>0</v>
      </c>
      <c r="R43" s="35">
        <v>0</v>
      </c>
      <c r="S43" s="35">
        <v>0</v>
      </c>
      <c r="T43" s="35">
        <v>0</v>
      </c>
      <c r="U43" s="35">
        <v>0</v>
      </c>
      <c r="V43" s="35">
        <v>0</v>
      </c>
      <c r="W43" s="35">
        <v>0</v>
      </c>
      <c r="X43" s="35">
        <v>0</v>
      </c>
      <c r="Y43" s="35">
        <v>0</v>
      </c>
      <c r="Z43" s="35">
        <v>0</v>
      </c>
      <c r="AA43" s="35">
        <v>0</v>
      </c>
      <c r="AB43" s="62">
        <v>0</v>
      </c>
      <c r="AC43" s="30">
        <f t="shared" si="2"/>
        <v>-15000</v>
      </c>
    </row>
    <row r="44" spans="1:34" x14ac:dyDescent="0.2">
      <c r="A44" s="27" t="s">
        <v>132</v>
      </c>
      <c r="B44" s="35">
        <v>0</v>
      </c>
      <c r="C44" s="35">
        <v>0</v>
      </c>
      <c r="D44" s="35">
        <v>0</v>
      </c>
      <c r="E44" s="35">
        <v>0</v>
      </c>
      <c r="F44" s="35">
        <v>0</v>
      </c>
      <c r="G44" s="35">
        <v>0</v>
      </c>
      <c r="H44" s="35">
        <v>1000</v>
      </c>
      <c r="I44" s="35">
        <v>1000</v>
      </c>
      <c r="J44" s="35">
        <v>7000</v>
      </c>
      <c r="K44" s="35">
        <v>5000</v>
      </c>
      <c r="L44" s="35">
        <v>7000</v>
      </c>
      <c r="M44" s="35">
        <v>12000</v>
      </c>
      <c r="N44" s="35">
        <v>7000</v>
      </c>
      <c r="O44" s="35">
        <v>3000</v>
      </c>
      <c r="P44" s="35">
        <v>0</v>
      </c>
      <c r="Q44" s="35">
        <v>0</v>
      </c>
      <c r="R44" s="35">
        <v>0</v>
      </c>
      <c r="S44" s="35">
        <v>0</v>
      </c>
      <c r="T44" s="35">
        <v>0</v>
      </c>
      <c r="U44" s="35">
        <v>0</v>
      </c>
      <c r="V44" s="35">
        <v>5000</v>
      </c>
      <c r="W44" s="35">
        <v>15000</v>
      </c>
      <c r="X44" s="35">
        <v>0</v>
      </c>
      <c r="Y44" s="35">
        <v>0</v>
      </c>
      <c r="Z44" s="35">
        <v>0</v>
      </c>
      <c r="AA44" s="35">
        <v>0</v>
      </c>
      <c r="AB44" s="62">
        <v>0</v>
      </c>
      <c r="AC44" s="30">
        <f t="shared" si="2"/>
        <v>63000</v>
      </c>
    </row>
    <row r="45" spans="1:34" x14ac:dyDescent="0.2">
      <c r="A45" s="28" t="s">
        <v>120</v>
      </c>
      <c r="B45" s="41">
        <f>SUM(B35:B44)</f>
        <v>-749000</v>
      </c>
      <c r="C45" s="41">
        <f t="shared" ref="C45:AC45" si="3">SUM(C35:C44)</f>
        <v>-998000</v>
      </c>
      <c r="D45" s="41">
        <f t="shared" si="3"/>
        <v>-808000</v>
      </c>
      <c r="E45" s="41">
        <f t="shared" si="3"/>
        <v>-325000</v>
      </c>
      <c r="F45" s="41">
        <f t="shared" si="3"/>
        <v>-905000</v>
      </c>
      <c r="G45" s="41">
        <f t="shared" si="3"/>
        <v>-495000</v>
      </c>
      <c r="H45" s="41">
        <f t="shared" si="3"/>
        <v>-1087000</v>
      </c>
      <c r="I45" s="41">
        <f t="shared" si="3"/>
        <v>-1165000</v>
      </c>
      <c r="J45" s="41">
        <f t="shared" si="3"/>
        <v>-566000</v>
      </c>
      <c r="K45" s="41">
        <f t="shared" si="3"/>
        <v>-782000</v>
      </c>
      <c r="L45" s="41">
        <f t="shared" si="3"/>
        <v>-845000</v>
      </c>
      <c r="M45" s="41">
        <f t="shared" si="3"/>
        <v>557000</v>
      </c>
      <c r="N45" s="41">
        <f t="shared" si="3"/>
        <v>-2136000</v>
      </c>
      <c r="O45" s="41">
        <f t="shared" si="3"/>
        <v>-1176000</v>
      </c>
      <c r="P45" s="41">
        <f t="shared" si="3"/>
        <v>-1509000</v>
      </c>
      <c r="Q45" s="41">
        <f t="shared" si="3"/>
        <v>-2679000</v>
      </c>
      <c r="R45" s="41">
        <f t="shared" si="3"/>
        <v>-1891000</v>
      </c>
      <c r="S45" s="41">
        <f t="shared" si="3"/>
        <v>-1185000</v>
      </c>
      <c r="T45" s="41">
        <f t="shared" si="3"/>
        <v>-709000</v>
      </c>
      <c r="U45" s="41">
        <f t="shared" si="3"/>
        <v>-1351000</v>
      </c>
      <c r="V45" s="41">
        <f t="shared" si="3"/>
        <v>-2646000</v>
      </c>
      <c r="W45" s="41">
        <f t="shared" si="3"/>
        <v>285000</v>
      </c>
      <c r="X45" s="41">
        <f t="shared" si="3"/>
        <v>-1809000</v>
      </c>
      <c r="Y45" s="41">
        <f t="shared" si="3"/>
        <v>-1336000</v>
      </c>
      <c r="Z45" s="41">
        <f t="shared" si="3"/>
        <v>-1141000</v>
      </c>
      <c r="AA45" s="41">
        <f t="shared" si="3"/>
        <v>-1507000</v>
      </c>
      <c r="AB45" s="61">
        <f t="shared" si="3"/>
        <v>-588000</v>
      </c>
      <c r="AC45" s="41">
        <f t="shared" si="3"/>
        <v>-29546000</v>
      </c>
    </row>
    <row r="46" spans="1:34" x14ac:dyDescent="0.2">
      <c r="A46" s="28" t="s">
        <v>121</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62"/>
    </row>
    <row r="47" spans="1:34" x14ac:dyDescent="0.2">
      <c r="A47" s="27" t="s">
        <v>129</v>
      </c>
      <c r="B47" s="35">
        <v>0</v>
      </c>
      <c r="C47" s="35">
        <v>0</v>
      </c>
      <c r="D47" s="35">
        <v>950000</v>
      </c>
      <c r="E47" s="35">
        <v>0</v>
      </c>
      <c r="F47" s="35">
        <v>0</v>
      </c>
      <c r="G47" s="35">
        <v>0</v>
      </c>
      <c r="H47" s="35">
        <v>0</v>
      </c>
      <c r="I47" s="35">
        <v>0</v>
      </c>
      <c r="J47" s="35">
        <v>0</v>
      </c>
      <c r="K47" s="35">
        <v>0</v>
      </c>
      <c r="L47" s="35">
        <v>0</v>
      </c>
      <c r="M47" s="35">
        <v>0</v>
      </c>
      <c r="N47" s="35">
        <v>0</v>
      </c>
      <c r="O47" s="35">
        <v>0</v>
      </c>
      <c r="P47" s="35">
        <v>0</v>
      </c>
      <c r="Q47" s="35">
        <v>0</v>
      </c>
      <c r="R47" s="35">
        <v>125000</v>
      </c>
      <c r="S47" s="35">
        <v>0</v>
      </c>
      <c r="T47" s="35">
        <v>0</v>
      </c>
      <c r="U47" s="35">
        <v>0</v>
      </c>
      <c r="V47" s="35">
        <v>160000</v>
      </c>
      <c r="W47" s="35">
        <v>0</v>
      </c>
      <c r="X47" s="35">
        <v>75000</v>
      </c>
      <c r="Y47" s="35">
        <v>0</v>
      </c>
      <c r="Z47" s="35">
        <v>0</v>
      </c>
      <c r="AA47" s="35">
        <v>0</v>
      </c>
      <c r="AB47" s="62">
        <v>494000</v>
      </c>
      <c r="AC47" s="30">
        <f t="shared" ref="AC47:AC53" si="4">SUM(B47:AB47)</f>
        <v>1804000</v>
      </c>
    </row>
    <row r="48" spans="1:34" x14ac:dyDescent="0.2">
      <c r="A48" s="27" t="s">
        <v>136</v>
      </c>
      <c r="B48" s="35">
        <v>0</v>
      </c>
      <c r="C48" s="35">
        <v>0</v>
      </c>
      <c r="D48" s="35">
        <v>0</v>
      </c>
      <c r="E48" s="35">
        <v>0</v>
      </c>
      <c r="F48" s="35">
        <v>0</v>
      </c>
      <c r="G48" s="35">
        <v>0</v>
      </c>
      <c r="H48" s="35">
        <v>0</v>
      </c>
      <c r="I48" s="35">
        <v>0</v>
      </c>
      <c r="J48" s="35">
        <v>0</v>
      </c>
      <c r="K48" s="35">
        <v>-4000</v>
      </c>
      <c r="L48" s="35">
        <v>0</v>
      </c>
      <c r="M48" s="35">
        <v>0</v>
      </c>
      <c r="N48" s="35">
        <v>0</v>
      </c>
      <c r="O48" s="35">
        <v>0</v>
      </c>
      <c r="P48" s="35">
        <v>0</v>
      </c>
      <c r="Q48" s="35">
        <v>-8000</v>
      </c>
      <c r="R48" s="35">
        <v>-92000</v>
      </c>
      <c r="S48" s="35">
        <v>0</v>
      </c>
      <c r="T48" s="35">
        <v>-160000</v>
      </c>
      <c r="U48" s="35">
        <v>-4000</v>
      </c>
      <c r="V48" s="35">
        <v>-13000</v>
      </c>
      <c r="W48" s="35">
        <v>-31000</v>
      </c>
      <c r="X48" s="35">
        <v>-108000</v>
      </c>
      <c r="Y48" s="35">
        <v>-52000</v>
      </c>
      <c r="Z48" s="35">
        <v>-46000</v>
      </c>
      <c r="AA48" s="35">
        <v>-67000</v>
      </c>
      <c r="AB48" s="62">
        <v>-173000</v>
      </c>
      <c r="AC48" s="30">
        <f t="shared" si="4"/>
        <v>-758000</v>
      </c>
    </row>
    <row r="49" spans="1:29" x14ac:dyDescent="0.2">
      <c r="A49" s="27" t="s">
        <v>140</v>
      </c>
      <c r="B49" s="35">
        <v>0</v>
      </c>
      <c r="C49" s="35">
        <v>0</v>
      </c>
      <c r="D49" s="35">
        <v>0</v>
      </c>
      <c r="E49" s="35">
        <v>0</v>
      </c>
      <c r="F49" s="35">
        <v>0</v>
      </c>
      <c r="G49" s="35">
        <v>0</v>
      </c>
      <c r="H49" s="35">
        <v>0</v>
      </c>
      <c r="I49" s="35">
        <v>0</v>
      </c>
      <c r="J49" s="35">
        <v>0</v>
      </c>
      <c r="K49" s="35">
        <v>0</v>
      </c>
      <c r="L49" s="35">
        <v>0</v>
      </c>
      <c r="M49" s="35">
        <v>0</v>
      </c>
      <c r="N49" s="35">
        <v>0</v>
      </c>
      <c r="O49" s="35">
        <v>0</v>
      </c>
      <c r="P49" s="35">
        <v>0</v>
      </c>
      <c r="Q49" s="35">
        <v>0</v>
      </c>
      <c r="R49" s="35">
        <v>0</v>
      </c>
      <c r="S49" s="35">
        <v>-8000</v>
      </c>
      <c r="T49" s="35">
        <v>0</v>
      </c>
      <c r="U49" s="35">
        <v>0</v>
      </c>
      <c r="V49" s="35"/>
      <c r="W49" s="35">
        <v>0</v>
      </c>
      <c r="X49" s="35">
        <v>-167000</v>
      </c>
      <c r="Y49" s="35">
        <v>0</v>
      </c>
      <c r="Z49" s="35">
        <v>0</v>
      </c>
      <c r="AA49" s="35">
        <v>0</v>
      </c>
      <c r="AB49" s="62">
        <v>0</v>
      </c>
      <c r="AC49" s="30">
        <f t="shared" si="4"/>
        <v>-175000</v>
      </c>
    </row>
    <row r="50" spans="1:29" x14ac:dyDescent="0.2">
      <c r="A50" s="27" t="s">
        <v>122</v>
      </c>
      <c r="B50" s="35">
        <v>-211000</v>
      </c>
      <c r="C50" s="35">
        <v>-35000</v>
      </c>
      <c r="D50" s="35">
        <v>-74000</v>
      </c>
      <c r="E50" s="35">
        <v>-79000</v>
      </c>
      <c r="F50" s="35">
        <v>-10000</v>
      </c>
      <c r="G50" s="35">
        <v>-555000</v>
      </c>
      <c r="H50" s="35">
        <v>-27000</v>
      </c>
      <c r="I50" s="35">
        <v>-33000</v>
      </c>
      <c r="J50" s="35">
        <v>-38000</v>
      </c>
      <c r="K50" s="35">
        <v>-36000</v>
      </c>
      <c r="L50" s="35">
        <v>-41000</v>
      </c>
      <c r="M50" s="35">
        <v>-77000</v>
      </c>
      <c r="N50" s="35">
        <v>-263000</v>
      </c>
      <c r="O50" s="35">
        <v>-171000</v>
      </c>
      <c r="P50" s="35">
        <v>-788000</v>
      </c>
      <c r="Q50" s="35">
        <v>-79000</v>
      </c>
      <c r="R50" s="35">
        <v>-226000</v>
      </c>
      <c r="S50" s="35">
        <v>-42000</v>
      </c>
      <c r="T50" s="35">
        <v>0</v>
      </c>
      <c r="U50" s="35">
        <v>0</v>
      </c>
      <c r="V50" s="35">
        <v>-700000</v>
      </c>
      <c r="W50" s="35">
        <v>-7000</v>
      </c>
      <c r="X50" s="35">
        <f>-372000+51000</f>
        <v>-321000</v>
      </c>
      <c r="Y50" s="35">
        <v>-39000</v>
      </c>
      <c r="Z50" s="35">
        <v>-60000</v>
      </c>
      <c r="AA50" s="35">
        <v>40000</v>
      </c>
      <c r="AB50" s="62">
        <f>-466000+16000</f>
        <v>-450000</v>
      </c>
      <c r="AC50" s="30">
        <f t="shared" si="4"/>
        <v>-4322000</v>
      </c>
    </row>
    <row r="51" spans="1:29" x14ac:dyDescent="0.2">
      <c r="A51" s="27" t="s">
        <v>123</v>
      </c>
      <c r="B51" s="35">
        <v>-2257000</v>
      </c>
      <c r="C51" s="35">
        <v>-1891000</v>
      </c>
      <c r="D51" s="35">
        <v>-1803000</v>
      </c>
      <c r="E51" s="35">
        <v>-1752000</v>
      </c>
      <c r="F51" s="35">
        <v>-1617000</v>
      </c>
      <c r="G51" s="35">
        <v>-1596000</v>
      </c>
      <c r="H51" s="35">
        <v>-1553000</v>
      </c>
      <c r="I51" s="35">
        <v>-1463000</v>
      </c>
      <c r="J51" s="35">
        <v>-1374000</v>
      </c>
      <c r="K51" s="35">
        <v>-2290000</v>
      </c>
      <c r="L51" s="35">
        <v>-1055000</v>
      </c>
      <c r="M51" s="35">
        <v>-924000</v>
      </c>
      <c r="N51" s="35">
        <v>-785000</v>
      </c>
      <c r="O51" s="35">
        <v>-802000</v>
      </c>
      <c r="P51" s="35">
        <v>-829000</v>
      </c>
      <c r="Q51" s="35">
        <v>-732000</v>
      </c>
      <c r="R51" s="35">
        <v>-495000</v>
      </c>
      <c r="S51" s="35">
        <v>-490000</v>
      </c>
      <c r="T51" s="35">
        <v>0</v>
      </c>
      <c r="U51" s="35">
        <v>0</v>
      </c>
      <c r="V51" s="35"/>
      <c r="W51" s="35">
        <v>0</v>
      </c>
      <c r="X51" s="35">
        <v>0</v>
      </c>
      <c r="Y51" s="35">
        <v>0</v>
      </c>
      <c r="Z51" s="35">
        <v>0</v>
      </c>
      <c r="AA51" s="35">
        <v>0</v>
      </c>
      <c r="AB51" s="62">
        <v>0</v>
      </c>
      <c r="AC51" s="30">
        <f t="shared" si="4"/>
        <v>-23708000</v>
      </c>
    </row>
    <row r="52" spans="1:29" x14ac:dyDescent="0.2">
      <c r="A52" s="28" t="s">
        <v>124</v>
      </c>
      <c r="B52" s="41">
        <f>SUM(B47:B51)</f>
        <v>-2468000</v>
      </c>
      <c r="C52" s="41">
        <f t="shared" ref="C52:AC52" si="5">SUM(C47:C51)</f>
        <v>-1926000</v>
      </c>
      <c r="D52" s="41">
        <f t="shared" si="5"/>
        <v>-927000</v>
      </c>
      <c r="E52" s="41">
        <f t="shared" si="5"/>
        <v>-1831000</v>
      </c>
      <c r="F52" s="41">
        <f t="shared" si="5"/>
        <v>-1627000</v>
      </c>
      <c r="G52" s="41">
        <f t="shared" si="5"/>
        <v>-2151000</v>
      </c>
      <c r="H52" s="41">
        <f t="shared" si="5"/>
        <v>-1580000</v>
      </c>
      <c r="I52" s="41">
        <f t="shared" si="5"/>
        <v>-1496000</v>
      </c>
      <c r="J52" s="41">
        <f t="shared" si="5"/>
        <v>-1412000</v>
      </c>
      <c r="K52" s="41">
        <f t="shared" si="5"/>
        <v>-2330000</v>
      </c>
      <c r="L52" s="41">
        <f t="shared" si="5"/>
        <v>-1096000</v>
      </c>
      <c r="M52" s="41">
        <f t="shared" si="5"/>
        <v>-1001000</v>
      </c>
      <c r="N52" s="41">
        <f t="shared" si="5"/>
        <v>-1048000</v>
      </c>
      <c r="O52" s="41">
        <f t="shared" si="5"/>
        <v>-973000</v>
      </c>
      <c r="P52" s="41">
        <f t="shared" si="5"/>
        <v>-1617000</v>
      </c>
      <c r="Q52" s="41">
        <f t="shared" si="5"/>
        <v>-819000</v>
      </c>
      <c r="R52" s="41">
        <f t="shared" si="5"/>
        <v>-688000</v>
      </c>
      <c r="S52" s="41">
        <f t="shared" si="5"/>
        <v>-540000</v>
      </c>
      <c r="T52" s="41">
        <f t="shared" si="5"/>
        <v>-160000</v>
      </c>
      <c r="U52" s="41">
        <f t="shared" si="5"/>
        <v>-4000</v>
      </c>
      <c r="V52" s="41">
        <f t="shared" si="5"/>
        <v>-553000</v>
      </c>
      <c r="W52" s="41">
        <f t="shared" si="5"/>
        <v>-38000</v>
      </c>
      <c r="X52" s="41">
        <f t="shared" si="5"/>
        <v>-521000</v>
      </c>
      <c r="Y52" s="41">
        <f t="shared" si="5"/>
        <v>-91000</v>
      </c>
      <c r="Z52" s="41">
        <f t="shared" si="5"/>
        <v>-106000</v>
      </c>
      <c r="AA52" s="41">
        <f t="shared" si="5"/>
        <v>-27000</v>
      </c>
      <c r="AB52" s="61">
        <f t="shared" si="5"/>
        <v>-129000</v>
      </c>
      <c r="AC52" s="56">
        <f t="shared" si="5"/>
        <v>-27159000</v>
      </c>
    </row>
    <row r="53" spans="1:29" x14ac:dyDescent="0.2">
      <c r="A53" s="27" t="s">
        <v>125</v>
      </c>
      <c r="B53" s="33">
        <f t="shared" ref="B53:AB53" si="6">B52+B45+B33</f>
        <v>-1248000</v>
      </c>
      <c r="C53" s="33">
        <f t="shared" si="6"/>
        <v>868000</v>
      </c>
      <c r="D53" s="33">
        <f t="shared" si="6"/>
        <v>1585000</v>
      </c>
      <c r="E53" s="33">
        <f t="shared" si="6"/>
        <v>579000</v>
      </c>
      <c r="F53" s="33">
        <f t="shared" si="6"/>
        <v>-2162000</v>
      </c>
      <c r="G53" s="33">
        <f t="shared" si="6"/>
        <v>538000</v>
      </c>
      <c r="H53" s="33">
        <f t="shared" si="6"/>
        <v>227000</v>
      </c>
      <c r="I53" s="33">
        <f t="shared" si="6"/>
        <v>-181000</v>
      </c>
      <c r="J53" s="33">
        <f t="shared" si="6"/>
        <v>1013000</v>
      </c>
      <c r="K53" s="33">
        <f t="shared" si="6"/>
        <v>-914000</v>
      </c>
      <c r="L53" s="33">
        <f t="shared" si="6"/>
        <v>519000</v>
      </c>
      <c r="M53" s="33">
        <f t="shared" si="6"/>
        <v>1613000</v>
      </c>
      <c r="N53" s="33">
        <f t="shared" si="6"/>
        <v>-1030000</v>
      </c>
      <c r="O53" s="33">
        <f t="shared" si="6"/>
        <v>599000</v>
      </c>
      <c r="P53" s="33">
        <f t="shared" si="6"/>
        <v>-539000</v>
      </c>
      <c r="Q53" s="33">
        <f t="shared" si="6"/>
        <v>-884000</v>
      </c>
      <c r="R53" s="33">
        <f t="shared" si="6"/>
        <v>44000</v>
      </c>
      <c r="S53" s="33">
        <f t="shared" si="6"/>
        <v>1171000</v>
      </c>
      <c r="T53" s="33">
        <f t="shared" si="6"/>
        <v>1581000</v>
      </c>
      <c r="U53" s="33">
        <f t="shared" si="6"/>
        <v>1605000</v>
      </c>
      <c r="V53" s="33">
        <f t="shared" si="6"/>
        <v>-1408000</v>
      </c>
      <c r="W53" s="33">
        <f t="shared" si="6"/>
        <v>1544000</v>
      </c>
      <c r="X53" s="33">
        <f t="shared" si="6"/>
        <v>-202000</v>
      </c>
      <c r="Y53" s="33">
        <f t="shared" si="6"/>
        <v>257000</v>
      </c>
      <c r="Z53" s="33">
        <f t="shared" si="6"/>
        <v>250000</v>
      </c>
      <c r="AA53" s="33">
        <f t="shared" si="6"/>
        <v>-254000</v>
      </c>
      <c r="AB53" s="63">
        <f t="shared" si="6"/>
        <v>380000</v>
      </c>
      <c r="AC53" s="30">
        <f t="shared" si="4"/>
        <v>5551000</v>
      </c>
    </row>
    <row r="54" spans="1:29" x14ac:dyDescent="0.2">
      <c r="A54" s="27" t="s">
        <v>126</v>
      </c>
      <c r="B54" s="35">
        <v>7326000</v>
      </c>
      <c r="C54" s="35">
        <v>6458000</v>
      </c>
      <c r="D54" s="35">
        <v>4873000</v>
      </c>
      <c r="E54" s="35">
        <v>4294000</v>
      </c>
      <c r="F54" s="35">
        <v>6456000</v>
      </c>
      <c r="G54" s="35">
        <v>5918000</v>
      </c>
      <c r="H54" s="35">
        <v>5691000</v>
      </c>
      <c r="I54" s="35">
        <v>5872000</v>
      </c>
      <c r="J54" s="35">
        <v>4859000</v>
      </c>
      <c r="K54" s="35">
        <v>5773000</v>
      </c>
      <c r="L54" s="35">
        <v>5254000</v>
      </c>
      <c r="M54" s="34">
        <v>3641000</v>
      </c>
      <c r="N54" s="34">
        <v>4671000</v>
      </c>
      <c r="O54" s="35">
        <v>4072000</v>
      </c>
      <c r="P54" s="35">
        <v>4611000</v>
      </c>
      <c r="Q54" s="35">
        <v>5495000</v>
      </c>
      <c r="R54" s="35">
        <v>5451000</v>
      </c>
      <c r="S54" s="35">
        <v>4280000</v>
      </c>
      <c r="T54" s="35">
        <v>2699000</v>
      </c>
      <c r="U54" s="34">
        <v>1094000</v>
      </c>
      <c r="V54" s="34">
        <v>2502000</v>
      </c>
      <c r="W54" s="34">
        <v>958000</v>
      </c>
      <c r="X54" s="34">
        <v>1160000</v>
      </c>
      <c r="Y54" s="34">
        <v>903000</v>
      </c>
      <c r="Z54" s="34">
        <v>653000</v>
      </c>
      <c r="AA54" s="34">
        <v>907000</v>
      </c>
      <c r="AB54" s="59">
        <f>479000+48000</f>
        <v>527000</v>
      </c>
      <c r="AC54" s="30">
        <v>527000</v>
      </c>
    </row>
    <row r="55" spans="1:29" ht="17" thickBot="1" x14ac:dyDescent="0.25">
      <c r="A55" s="28" t="s">
        <v>127</v>
      </c>
      <c r="B55" s="55">
        <f>SUM(B53:B54)</f>
        <v>6078000</v>
      </c>
      <c r="C55" s="55">
        <f t="shared" ref="C55:AC55" si="7">SUM(C53:C54)</f>
        <v>7326000</v>
      </c>
      <c r="D55" s="55">
        <f t="shared" si="7"/>
        <v>6458000</v>
      </c>
      <c r="E55" s="55">
        <f t="shared" si="7"/>
        <v>4873000</v>
      </c>
      <c r="F55" s="55">
        <f t="shared" si="7"/>
        <v>4294000</v>
      </c>
      <c r="G55" s="55">
        <f t="shared" si="7"/>
        <v>6456000</v>
      </c>
      <c r="H55" s="55">
        <f t="shared" si="7"/>
        <v>5918000</v>
      </c>
      <c r="I55" s="55">
        <f t="shared" si="7"/>
        <v>5691000</v>
      </c>
      <c r="J55" s="55">
        <f t="shared" si="7"/>
        <v>5872000</v>
      </c>
      <c r="K55" s="55">
        <f t="shared" si="7"/>
        <v>4859000</v>
      </c>
      <c r="L55" s="55">
        <f t="shared" si="7"/>
        <v>5773000</v>
      </c>
      <c r="M55" s="55">
        <f t="shared" si="7"/>
        <v>5254000</v>
      </c>
      <c r="N55" s="55">
        <f t="shared" si="7"/>
        <v>3641000</v>
      </c>
      <c r="O55" s="55">
        <f t="shared" si="7"/>
        <v>4671000</v>
      </c>
      <c r="P55" s="55">
        <f t="shared" si="7"/>
        <v>4072000</v>
      </c>
      <c r="Q55" s="55">
        <f t="shared" si="7"/>
        <v>4611000</v>
      </c>
      <c r="R55" s="55">
        <f t="shared" si="7"/>
        <v>5495000</v>
      </c>
      <c r="S55" s="55">
        <f t="shared" si="7"/>
        <v>5451000</v>
      </c>
      <c r="T55" s="55">
        <f t="shared" si="7"/>
        <v>4280000</v>
      </c>
      <c r="U55" s="55">
        <f t="shared" si="7"/>
        <v>2699000</v>
      </c>
      <c r="V55" s="55">
        <f t="shared" si="7"/>
        <v>1094000</v>
      </c>
      <c r="W55" s="55">
        <f t="shared" si="7"/>
        <v>2502000</v>
      </c>
      <c r="X55" s="55">
        <f t="shared" si="7"/>
        <v>958000</v>
      </c>
      <c r="Y55" s="55">
        <f t="shared" si="7"/>
        <v>1160000</v>
      </c>
      <c r="Z55" s="55">
        <f t="shared" si="7"/>
        <v>903000</v>
      </c>
      <c r="AA55" s="55">
        <f t="shared" si="7"/>
        <v>653000</v>
      </c>
      <c r="AB55" s="64">
        <f t="shared" si="7"/>
        <v>907000</v>
      </c>
      <c r="AC55" s="55">
        <f t="shared" si="7"/>
        <v>6078000</v>
      </c>
    </row>
    <row r="56" spans="1:29" ht="17" thickTop="1" x14ac:dyDescent="0.2">
      <c r="B56" s="30"/>
      <c r="C56" s="30"/>
      <c r="D56" s="30"/>
      <c r="E56" s="30"/>
      <c r="F56" s="30"/>
      <c r="G56" s="30"/>
      <c r="H56" s="30"/>
      <c r="I56" s="30"/>
      <c r="J56" s="30"/>
      <c r="K56" s="30"/>
      <c r="L56" s="30"/>
      <c r="M56" s="26"/>
      <c r="O56" s="30"/>
      <c r="P56" s="30"/>
      <c r="Q56" s="30"/>
      <c r="R56" s="30"/>
      <c r="S56" s="30"/>
      <c r="T56" s="30"/>
      <c r="U56" s="26"/>
      <c r="V56" s="26"/>
      <c r="W56" s="26"/>
      <c r="X56" s="26"/>
      <c r="Y56" s="26"/>
      <c r="Z56" s="26"/>
      <c r="AA56" s="26"/>
    </row>
    <row r="57" spans="1:29" x14ac:dyDescent="0.2">
      <c r="A57" s="27" t="s">
        <v>148</v>
      </c>
      <c r="B57" s="26">
        <f>B33+B37</f>
        <v>1579000</v>
      </c>
      <c r="C57" s="26">
        <f t="shared" ref="C57:AC57" si="8">C33+C37</f>
        <v>3275000</v>
      </c>
      <c r="D57" s="26">
        <f t="shared" si="8"/>
        <v>2589000</v>
      </c>
      <c r="E57" s="26">
        <f t="shared" si="8"/>
        <v>2581000</v>
      </c>
      <c r="F57" s="26">
        <f t="shared" si="8"/>
        <v>-163000</v>
      </c>
      <c r="G57" s="26">
        <f t="shared" si="8"/>
        <v>3069000</v>
      </c>
      <c r="H57" s="26">
        <f t="shared" si="8"/>
        <v>2606000</v>
      </c>
      <c r="I57" s="26">
        <f t="shared" si="8"/>
        <v>2294000</v>
      </c>
      <c r="J57" s="26">
        <f t="shared" si="8"/>
        <v>2910000</v>
      </c>
      <c r="K57" s="26">
        <f t="shared" si="8"/>
        <v>2094000</v>
      </c>
      <c r="L57" s="26">
        <f t="shared" si="8"/>
        <v>2162000</v>
      </c>
      <c r="M57" s="26">
        <f t="shared" si="8"/>
        <v>1997000</v>
      </c>
      <c r="N57" s="26">
        <f t="shared" si="8"/>
        <v>2056000</v>
      </c>
      <c r="O57" s="26">
        <f t="shared" si="8"/>
        <v>2605000</v>
      </c>
      <c r="P57" s="26">
        <f t="shared" si="8"/>
        <v>2411000</v>
      </c>
      <c r="Q57" s="26">
        <f t="shared" si="8"/>
        <v>2532000</v>
      </c>
      <c r="R57" s="26">
        <f t="shared" si="8"/>
        <v>2288000</v>
      </c>
      <c r="S57" s="26">
        <f t="shared" si="8"/>
        <v>2738000</v>
      </c>
      <c r="T57" s="26">
        <f t="shared" si="8"/>
        <v>2259000</v>
      </c>
      <c r="U57" s="26">
        <f t="shared" si="8"/>
        <v>2876000</v>
      </c>
      <c r="V57" s="26">
        <f t="shared" si="8"/>
        <v>1607000</v>
      </c>
      <c r="W57" s="26">
        <f t="shared" si="8"/>
        <v>1148000</v>
      </c>
      <c r="X57" s="26">
        <f t="shared" si="8"/>
        <v>1475000</v>
      </c>
      <c r="Y57" s="26">
        <f t="shared" si="8"/>
        <v>1440000</v>
      </c>
      <c r="Z57" s="26">
        <f t="shared" si="8"/>
        <v>1389000</v>
      </c>
      <c r="AA57" s="26">
        <f t="shared" si="8"/>
        <v>1048000</v>
      </c>
      <c r="AB57" s="26">
        <f t="shared" si="8"/>
        <v>1035000</v>
      </c>
      <c r="AC57" s="26">
        <f t="shared" si="8"/>
        <v>55900000</v>
      </c>
    </row>
    <row r="58" spans="1:29" x14ac:dyDescent="0.2">
      <c r="A58" s="27" t="s">
        <v>149</v>
      </c>
      <c r="B58" s="66">
        <f>B57/B7</f>
        <v>0.44279304542905218</v>
      </c>
      <c r="C58" s="66">
        <f t="shared" ref="C58:AC58" si="9">C57/C7</f>
        <v>0.3026242838661985</v>
      </c>
      <c r="D58" s="66">
        <f t="shared" si="9"/>
        <v>1.230513307984791</v>
      </c>
      <c r="E58" s="66">
        <f t="shared" si="9"/>
        <v>0.71734296831573097</v>
      </c>
      <c r="F58" s="66">
        <f t="shared" si="9"/>
        <v>-6.4021995286724268E-2</v>
      </c>
      <c r="G58" s="66">
        <f t="shared" si="9"/>
        <v>1.2782174094127448</v>
      </c>
      <c r="H58" s="66">
        <f t="shared" si="9"/>
        <v>0.84445884640311086</v>
      </c>
      <c r="I58" s="66">
        <f t="shared" si="9"/>
        <v>0.72779187817258884</v>
      </c>
      <c r="J58" s="66">
        <f t="shared" si="9"/>
        <v>0.93209481101857783</v>
      </c>
      <c r="K58" s="66">
        <f t="shared" si="9"/>
        <v>0.76957001102535827</v>
      </c>
      <c r="L58" s="66">
        <f t="shared" si="9"/>
        <v>0.81646525679758308</v>
      </c>
      <c r="M58" s="66">
        <f t="shared" si="9"/>
        <v>0.98568608094768018</v>
      </c>
      <c r="N58" s="66">
        <f t="shared" si="9"/>
        <v>1.3333333333333333</v>
      </c>
      <c r="O58" s="66">
        <f t="shared" si="9"/>
        <v>5.0484496124031004</v>
      </c>
      <c r="P58" s="66">
        <f t="shared" si="9"/>
        <v>1.0644591611479028</v>
      </c>
      <c r="Q58" s="66">
        <f t="shared" si="9"/>
        <v>0.84937940288493796</v>
      </c>
      <c r="R58" s="66">
        <f t="shared" si="9"/>
        <v>0.8374816983894583</v>
      </c>
      <c r="S58" s="66">
        <f t="shared" si="9"/>
        <v>1.0886679920477138</v>
      </c>
      <c r="T58" s="66">
        <f t="shared" si="9"/>
        <v>0.93695562007465782</v>
      </c>
      <c r="U58" s="66">
        <f t="shared" si="9"/>
        <v>1.2586433260393872</v>
      </c>
      <c r="V58" s="66">
        <f t="shared" si="9"/>
        <v>0.86584051724137934</v>
      </c>
      <c r="W58" s="66">
        <f t="shared" si="9"/>
        <v>0.51595505617977533</v>
      </c>
      <c r="X58" s="66">
        <f t="shared" si="9"/>
        <v>0.67443987197073618</v>
      </c>
      <c r="Y58" s="66">
        <f t="shared" si="9"/>
        <v>0.66267832489645651</v>
      </c>
      <c r="Z58" s="66">
        <f t="shared" si="9"/>
        <v>0.74517167381974247</v>
      </c>
      <c r="AA58" s="66">
        <f t="shared" si="9"/>
        <v>0.63553668890236503</v>
      </c>
      <c r="AB58" s="66">
        <f t="shared" si="9"/>
        <v>0.82012678288431062</v>
      </c>
      <c r="AC58" s="66">
        <f t="shared" si="9"/>
        <v>0.77364888243028163</v>
      </c>
    </row>
    <row r="59" spans="1:29" x14ac:dyDescent="0.2">
      <c r="B59" s="26"/>
      <c r="C59" s="26"/>
      <c r="D59" s="26"/>
      <c r="E59" s="26"/>
      <c r="F59" s="26"/>
      <c r="G59" s="26"/>
      <c r="H59" s="26"/>
      <c r="I59" s="26"/>
      <c r="J59" s="26"/>
      <c r="K59" s="26"/>
      <c r="L59" s="26"/>
      <c r="M59" s="26"/>
      <c r="O59" s="26"/>
      <c r="P59" s="26"/>
      <c r="Q59" s="26"/>
      <c r="R59" s="26"/>
      <c r="S59" s="26"/>
      <c r="T59" s="26"/>
      <c r="U59" s="26"/>
      <c r="V59" s="26"/>
      <c r="W59" s="26"/>
      <c r="X59" s="26"/>
      <c r="Y59" s="26"/>
      <c r="Z59" s="26"/>
      <c r="AA59" s="26"/>
      <c r="AB59" s="26"/>
    </row>
    <row r="60" spans="1:29" x14ac:dyDescent="0.2">
      <c r="A60" s="69" t="s">
        <v>143</v>
      </c>
      <c r="B60" s="70" t="s">
        <v>144</v>
      </c>
      <c r="C60" s="26"/>
      <c r="D60" s="26"/>
      <c r="E60" s="26"/>
      <c r="F60" s="26"/>
      <c r="G60" s="26"/>
      <c r="H60" s="26"/>
      <c r="I60" s="26"/>
      <c r="J60" s="26"/>
      <c r="K60" s="26"/>
      <c r="L60" s="26"/>
      <c r="M60" s="26"/>
      <c r="O60" s="26"/>
      <c r="P60" s="26"/>
      <c r="Q60" s="26"/>
      <c r="R60" s="26"/>
      <c r="S60" s="26"/>
      <c r="T60" s="26"/>
      <c r="U60" s="26"/>
      <c r="V60" s="26"/>
      <c r="W60" s="26"/>
      <c r="X60" s="26"/>
      <c r="Y60" s="26"/>
      <c r="Z60" s="26"/>
      <c r="AA60" s="26"/>
      <c r="AB60" s="26"/>
    </row>
    <row r="61" spans="1:29" x14ac:dyDescent="0.2">
      <c r="A61" s="27" t="s">
        <v>145</v>
      </c>
      <c r="B61" s="30">
        <f>SUM(B33:K33)</f>
        <v>25933000</v>
      </c>
      <c r="C61" s="30"/>
      <c r="D61" s="30"/>
      <c r="E61" s="30"/>
      <c r="F61" s="30"/>
      <c r="G61" s="30"/>
      <c r="H61" s="30"/>
      <c r="I61" s="30"/>
      <c r="J61" s="30"/>
      <c r="K61" s="30"/>
      <c r="L61" s="30"/>
      <c r="M61" s="26"/>
      <c r="O61" s="30"/>
      <c r="P61" s="30"/>
      <c r="Q61" s="30"/>
      <c r="R61" s="30"/>
      <c r="S61" s="30"/>
      <c r="T61" s="30"/>
      <c r="U61" s="26"/>
      <c r="V61" s="26"/>
      <c r="W61" s="26"/>
      <c r="X61" s="26"/>
      <c r="Y61" s="26"/>
      <c r="Z61" s="26"/>
      <c r="AA61" s="26"/>
    </row>
    <row r="62" spans="1:29" x14ac:dyDescent="0.2">
      <c r="A62" s="27" t="s">
        <v>146</v>
      </c>
      <c r="B62" s="65">
        <f>SUM(B37:K37)</f>
        <v>-3099000</v>
      </c>
      <c r="M62" s="26"/>
    </row>
    <row r="63" spans="1:29" x14ac:dyDescent="0.2">
      <c r="A63" s="27" t="s">
        <v>147</v>
      </c>
      <c r="B63" s="71">
        <f>SUM(B61:B62)</f>
        <v>22834000</v>
      </c>
    </row>
    <row r="64" spans="1:29" x14ac:dyDescent="0.2">
      <c r="A64" s="27" t="s">
        <v>150</v>
      </c>
      <c r="B64" s="65">
        <f>D47</f>
        <v>950000</v>
      </c>
    </row>
    <row r="65" spans="1:12" ht="17" thickBot="1" x14ac:dyDescent="0.25">
      <c r="A65" s="28" t="s">
        <v>151</v>
      </c>
      <c r="B65" s="68">
        <f>SUM(B63:B64)</f>
        <v>23784000</v>
      </c>
    </row>
    <row r="66" spans="1:12" ht="17" thickTop="1" x14ac:dyDescent="0.2">
      <c r="A66" s="28" t="s">
        <v>152</v>
      </c>
    </row>
    <row r="67" spans="1:12" x14ac:dyDescent="0.2">
      <c r="A67" s="27" t="s">
        <v>153</v>
      </c>
      <c r="B67" s="65">
        <f>SUM(B51:K51)</f>
        <v>-17596000</v>
      </c>
    </row>
    <row r="68" spans="1:12" x14ac:dyDescent="0.2">
      <c r="A68" s="27" t="s">
        <v>154</v>
      </c>
      <c r="B68" s="65">
        <f>SUM(B50:K50)</f>
        <v>-1098000</v>
      </c>
    </row>
    <row r="69" spans="1:12" x14ac:dyDescent="0.2">
      <c r="A69" s="27" t="s">
        <v>196</v>
      </c>
      <c r="B69" s="30">
        <v>-3000000</v>
      </c>
    </row>
    <row r="70" spans="1:12" x14ac:dyDescent="0.2">
      <c r="A70" s="28" t="s">
        <v>155</v>
      </c>
      <c r="B70" s="67">
        <f>SUM(B67:B69)</f>
        <v>-21694000</v>
      </c>
    </row>
    <row r="73" spans="1:12" x14ac:dyDescent="0.2">
      <c r="A73" s="98"/>
      <c r="B73" s="103" t="s">
        <v>199</v>
      </c>
      <c r="C73" s="103"/>
      <c r="D73" s="103"/>
      <c r="E73" s="103"/>
      <c r="F73" s="103"/>
      <c r="G73" s="103"/>
      <c r="H73" s="103"/>
      <c r="I73" s="103"/>
      <c r="J73" s="103"/>
      <c r="K73" s="104"/>
      <c r="L73" s="105" t="s">
        <v>198</v>
      </c>
    </row>
    <row r="74" spans="1:12" x14ac:dyDescent="0.2">
      <c r="A74" s="69" t="s">
        <v>192</v>
      </c>
      <c r="B74" s="93">
        <v>44681</v>
      </c>
      <c r="C74" s="93">
        <v>44316</v>
      </c>
      <c r="D74" s="93">
        <v>43951</v>
      </c>
      <c r="E74" s="93">
        <v>43585</v>
      </c>
      <c r="F74" s="93">
        <v>43220</v>
      </c>
      <c r="G74" s="93">
        <v>42855</v>
      </c>
      <c r="H74" s="93">
        <v>42490</v>
      </c>
      <c r="I74" s="93">
        <v>42124</v>
      </c>
      <c r="J74" s="93">
        <v>41759</v>
      </c>
      <c r="K74" s="94">
        <v>41394</v>
      </c>
      <c r="L74" s="106"/>
    </row>
    <row r="75" spans="1:12" x14ac:dyDescent="0.2">
      <c r="A75" s="27" t="s">
        <v>191</v>
      </c>
      <c r="B75" s="65">
        <f>B33</f>
        <v>1969000</v>
      </c>
      <c r="C75" s="65">
        <f t="shared" ref="C75:K75" si="10">C33</f>
        <v>3792000</v>
      </c>
      <c r="D75" s="65">
        <f t="shared" si="10"/>
        <v>3320000</v>
      </c>
      <c r="E75" s="65">
        <f t="shared" si="10"/>
        <v>2735000</v>
      </c>
      <c r="F75" s="65">
        <f t="shared" si="10"/>
        <v>370000</v>
      </c>
      <c r="G75" s="65">
        <f t="shared" si="10"/>
        <v>3184000</v>
      </c>
      <c r="H75" s="65">
        <f t="shared" si="10"/>
        <v>2894000</v>
      </c>
      <c r="I75" s="65">
        <f t="shared" si="10"/>
        <v>2480000</v>
      </c>
      <c r="J75" s="65">
        <f t="shared" si="10"/>
        <v>2991000</v>
      </c>
      <c r="K75" s="95">
        <f t="shared" si="10"/>
        <v>2198000</v>
      </c>
      <c r="L75" s="65">
        <f>SUM(B75:K75)</f>
        <v>25933000</v>
      </c>
    </row>
    <row r="76" spans="1:12" x14ac:dyDescent="0.2">
      <c r="A76" s="27" t="s">
        <v>193</v>
      </c>
      <c r="B76" s="65">
        <f>B37</f>
        <v>-390000</v>
      </c>
      <c r="C76" s="65">
        <f t="shared" ref="C76:K76" si="11">C37</f>
        <v>-517000</v>
      </c>
      <c r="D76" s="65">
        <f t="shared" si="11"/>
        <v>-731000</v>
      </c>
      <c r="E76" s="65">
        <f t="shared" si="11"/>
        <v>-154000</v>
      </c>
      <c r="F76" s="65">
        <f t="shared" si="11"/>
        <v>-533000</v>
      </c>
      <c r="G76" s="65">
        <f t="shared" si="11"/>
        <v>-115000</v>
      </c>
      <c r="H76" s="65">
        <f t="shared" si="11"/>
        <v>-288000</v>
      </c>
      <c r="I76" s="65">
        <f t="shared" si="11"/>
        <v>-186000</v>
      </c>
      <c r="J76" s="65">
        <f t="shared" si="11"/>
        <v>-81000</v>
      </c>
      <c r="K76" s="95">
        <f t="shared" si="11"/>
        <v>-104000</v>
      </c>
      <c r="L76" s="65">
        <f>SUM(B76:K76)</f>
        <v>-3099000</v>
      </c>
    </row>
    <row r="77" spans="1:12" x14ac:dyDescent="0.2">
      <c r="A77" s="28" t="s">
        <v>194</v>
      </c>
      <c r="B77" s="92">
        <f>SUM(B75:B76)</f>
        <v>1579000</v>
      </c>
      <c r="C77" s="92">
        <f t="shared" ref="C77:L77" si="12">SUM(C75:C76)</f>
        <v>3275000</v>
      </c>
      <c r="D77" s="92">
        <f t="shared" si="12"/>
        <v>2589000</v>
      </c>
      <c r="E77" s="92">
        <f t="shared" si="12"/>
        <v>2581000</v>
      </c>
      <c r="F77" s="92">
        <f t="shared" si="12"/>
        <v>-163000</v>
      </c>
      <c r="G77" s="92">
        <f t="shared" si="12"/>
        <v>3069000</v>
      </c>
      <c r="H77" s="92">
        <f t="shared" si="12"/>
        <v>2606000</v>
      </c>
      <c r="I77" s="92">
        <f t="shared" si="12"/>
        <v>2294000</v>
      </c>
      <c r="J77" s="92">
        <f t="shared" si="12"/>
        <v>2910000</v>
      </c>
      <c r="K77" s="96">
        <f t="shared" si="12"/>
        <v>2094000</v>
      </c>
      <c r="L77" s="92">
        <f t="shared" si="12"/>
        <v>22834000</v>
      </c>
    </row>
    <row r="78" spans="1:12" x14ac:dyDescent="0.2">
      <c r="A78" s="28" t="s">
        <v>152</v>
      </c>
      <c r="K78" s="97"/>
    </row>
    <row r="79" spans="1:12" x14ac:dyDescent="0.2">
      <c r="A79" s="27" t="s">
        <v>153</v>
      </c>
      <c r="B79" s="65">
        <f>B51</f>
        <v>-2257000</v>
      </c>
      <c r="C79" s="65">
        <f t="shared" ref="C79:K79" si="13">C51</f>
        <v>-1891000</v>
      </c>
      <c r="D79" s="65">
        <f t="shared" si="13"/>
        <v>-1803000</v>
      </c>
      <c r="E79" s="65">
        <f t="shared" si="13"/>
        <v>-1752000</v>
      </c>
      <c r="F79" s="65">
        <f t="shared" si="13"/>
        <v>-1617000</v>
      </c>
      <c r="G79" s="65">
        <f t="shared" si="13"/>
        <v>-1596000</v>
      </c>
      <c r="H79" s="65">
        <f t="shared" si="13"/>
        <v>-1553000</v>
      </c>
      <c r="I79" s="65">
        <f t="shared" si="13"/>
        <v>-1463000</v>
      </c>
      <c r="J79" s="65">
        <f t="shared" si="13"/>
        <v>-1374000</v>
      </c>
      <c r="K79" s="95">
        <f t="shared" si="13"/>
        <v>-2290000</v>
      </c>
      <c r="L79" s="65">
        <f>SUM(B79:K79)</f>
        <v>-17596000</v>
      </c>
    </row>
    <row r="80" spans="1:12" x14ac:dyDescent="0.2">
      <c r="A80" s="27" t="s">
        <v>154</v>
      </c>
      <c r="B80" s="65">
        <f>B50</f>
        <v>-211000</v>
      </c>
      <c r="C80" s="65">
        <f t="shared" ref="C80:K80" si="14">C50</f>
        <v>-35000</v>
      </c>
      <c r="D80" s="65">
        <f t="shared" si="14"/>
        <v>-74000</v>
      </c>
      <c r="E80" s="65">
        <f t="shared" si="14"/>
        <v>-79000</v>
      </c>
      <c r="F80" s="65">
        <f t="shared" si="14"/>
        <v>-10000</v>
      </c>
      <c r="G80" s="65">
        <f t="shared" si="14"/>
        <v>-555000</v>
      </c>
      <c r="H80" s="65">
        <f t="shared" si="14"/>
        <v>-27000</v>
      </c>
      <c r="I80" s="65">
        <f t="shared" si="14"/>
        <v>-33000</v>
      </c>
      <c r="J80" s="65">
        <f t="shared" si="14"/>
        <v>-38000</v>
      </c>
      <c r="K80" s="95">
        <f t="shared" si="14"/>
        <v>-36000</v>
      </c>
      <c r="L80" s="65">
        <f t="shared" ref="L80:L81" si="15">SUM(B80:K80)</f>
        <v>-1098000</v>
      </c>
    </row>
    <row r="81" spans="1:12" x14ac:dyDescent="0.2">
      <c r="A81" s="27" t="s">
        <v>195</v>
      </c>
      <c r="B81" s="30">
        <v>0</v>
      </c>
      <c r="C81" s="30">
        <v>0</v>
      </c>
      <c r="D81" s="30">
        <v>0</v>
      </c>
      <c r="E81" s="30">
        <v>0</v>
      </c>
      <c r="F81" s="30">
        <v>-3000000</v>
      </c>
      <c r="G81" s="30">
        <v>0</v>
      </c>
      <c r="H81" s="30">
        <v>0</v>
      </c>
      <c r="I81" s="30">
        <v>0</v>
      </c>
      <c r="J81" s="30">
        <v>0</v>
      </c>
      <c r="K81" s="62">
        <v>0</v>
      </c>
      <c r="L81" s="65">
        <f t="shared" si="15"/>
        <v>-3000000</v>
      </c>
    </row>
    <row r="82" spans="1:12" x14ac:dyDescent="0.2">
      <c r="A82" s="28" t="s">
        <v>197</v>
      </c>
      <c r="B82" s="92">
        <f>SUM(B79:B81)</f>
        <v>-2468000</v>
      </c>
      <c r="C82" s="92">
        <f t="shared" ref="C82:J82" si="16">SUM(C79:C81)</f>
        <v>-1926000</v>
      </c>
      <c r="D82" s="92">
        <f t="shared" si="16"/>
        <v>-1877000</v>
      </c>
      <c r="E82" s="92">
        <f t="shared" si="16"/>
        <v>-1831000</v>
      </c>
      <c r="F82" s="92">
        <f t="shared" si="16"/>
        <v>-4627000</v>
      </c>
      <c r="G82" s="92">
        <f t="shared" si="16"/>
        <v>-2151000</v>
      </c>
      <c r="H82" s="92">
        <f t="shared" si="16"/>
        <v>-1580000</v>
      </c>
      <c r="I82" s="92">
        <f t="shared" si="16"/>
        <v>-1496000</v>
      </c>
      <c r="J82" s="92">
        <f t="shared" si="16"/>
        <v>-1412000</v>
      </c>
      <c r="K82" s="96">
        <f>SUM(K79:K81)</f>
        <v>-2326000</v>
      </c>
      <c r="L82" s="92">
        <f>SUM(L79:L81)</f>
        <v>-21694000</v>
      </c>
    </row>
  </sheetData>
  <mergeCells count="4">
    <mergeCell ref="B4:AB4"/>
    <mergeCell ref="AC4:AC5"/>
    <mergeCell ref="B73:K73"/>
    <mergeCell ref="L73:L74"/>
  </mergeCells>
  <pageMargins left="0.7" right="0.7" top="0.75" bottom="0.75" header="0.3" footer="0.3"/>
  <pageSetup scale="65" fitToHeight="5" orientation="landscape" r:id="rId1"/>
  <ignoredErrors>
    <ignoredError sqref="AC52 B64" formula="1"/>
    <ignoredError sqref="B62 B67:B6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TERMS OF USE</vt:lpstr>
      <vt:lpstr>Balance Sheet</vt:lpstr>
      <vt:lpstr>Operating Summary</vt:lpstr>
      <vt:lpstr>Cash Flow</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George Risk Industries</dc:title>
  <dc:subject/>
  <dc:creator>The Rational Walk LLC</dc:creator>
  <cp:keywords/>
  <dc:description/>
  <cp:lastModifiedBy>Ravi Nagarajan</cp:lastModifiedBy>
  <cp:lastPrinted>2010-01-09T02:34:21Z</cp:lastPrinted>
  <dcterms:created xsi:type="dcterms:W3CDTF">2009-09-17T14:10:19Z</dcterms:created>
  <dcterms:modified xsi:type="dcterms:W3CDTF">2022-10-16T16:27:48Z</dcterms:modified>
  <cp:category/>
</cp:coreProperties>
</file>