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workbookPr defaultThemeVersion="124226"/>
  <mc:AlternateContent xmlns:mc="http://schemas.openxmlformats.org/markup-compatibility/2006">
    <mc:Choice Requires="x15">
      <x15ac:absPath xmlns:x15ac="http://schemas.microsoft.com/office/spreadsheetml/2010/11/ac" url="/Users/ravi/Library/CloudStorage/OneDrive-Personal/Work Files/Company Research/Rational Reflections Write-Ups/Progressive/To Publish/"/>
    </mc:Choice>
  </mc:AlternateContent>
  <xr:revisionPtr revIDLastSave="0" documentId="8_{80770561-779E-1E46-BAFD-3DE84C20BE68}" xr6:coauthVersionLast="47" xr6:coauthVersionMax="47" xr10:uidLastSave="{00000000-0000-0000-0000-000000000000}"/>
  <bookViews>
    <workbookView xWindow="-38400" yWindow="500" windowWidth="38400" windowHeight="21100" tabRatio="925" xr2:uid="{00000000-000D-0000-FFFF-FFFF00000000}"/>
  </bookViews>
  <sheets>
    <sheet name="TERMS OF USE" sheetId="10" r:id="rId1"/>
    <sheet name="Balance Sheet (Annual)" sheetId="1" r:id="rId2"/>
    <sheet name="Operating History (Annual)" sheetId="2" r:id="rId3"/>
    <sheet name="Cash Flow (Annual)" sheetId="12" r:id="rId4"/>
    <sheet name="Segment Analysis (Annual)" sheetId="3" r:id="rId5"/>
    <sheet name="Investment Portfolio (Annual)" sheetId="5" r:id="rId6"/>
    <sheet name="GEICO vs. Progressive" sheetId="11" r:id="rId7"/>
    <sheet name="Monthly Data Series"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9" i="3" l="1"/>
  <c r="C56" i="3"/>
  <c r="B81" i="12"/>
  <c r="C101" i="1"/>
  <c r="D101" i="1"/>
  <c r="E101" i="1"/>
  <c r="F101" i="1"/>
  <c r="G101" i="1"/>
  <c r="H101" i="1"/>
  <c r="I101" i="1"/>
  <c r="J101" i="1"/>
  <c r="K101" i="1"/>
  <c r="L101" i="1"/>
  <c r="M101" i="1"/>
  <c r="N101" i="1"/>
  <c r="O101" i="1"/>
  <c r="P101" i="1"/>
  <c r="Q101" i="1"/>
  <c r="R101" i="1"/>
  <c r="S101" i="1"/>
  <c r="T101" i="1"/>
  <c r="U101" i="1"/>
  <c r="V101" i="1"/>
  <c r="W101" i="1"/>
  <c r="B101" i="1"/>
  <c r="C97" i="1"/>
  <c r="D97" i="1"/>
  <c r="E97" i="1"/>
  <c r="F97" i="1"/>
  <c r="G97" i="1"/>
  <c r="H97" i="1"/>
  <c r="I97" i="1"/>
  <c r="J97" i="1"/>
  <c r="K97" i="1"/>
  <c r="L97" i="1"/>
  <c r="M97" i="1"/>
  <c r="N97" i="1"/>
  <c r="O97" i="1"/>
  <c r="P97" i="1"/>
  <c r="Q97" i="1"/>
  <c r="R97" i="1"/>
  <c r="S97" i="1"/>
  <c r="T97" i="1"/>
  <c r="U97" i="1"/>
  <c r="V97" i="1"/>
  <c r="W97" i="1"/>
  <c r="B97" i="1"/>
  <c r="C101" i="2"/>
  <c r="D101" i="2"/>
  <c r="E101" i="2"/>
  <c r="F101" i="2"/>
  <c r="G101" i="2"/>
  <c r="H101" i="2"/>
  <c r="I101" i="2"/>
  <c r="J101" i="2"/>
  <c r="K101" i="2"/>
  <c r="L101" i="2"/>
  <c r="M101" i="2"/>
  <c r="N101" i="2"/>
  <c r="O101" i="2"/>
  <c r="P101" i="2"/>
  <c r="Q101" i="2"/>
  <c r="R101" i="2"/>
  <c r="S101" i="2"/>
  <c r="T101" i="2"/>
  <c r="U101" i="2"/>
  <c r="V101" i="2"/>
  <c r="W101" i="2"/>
  <c r="X101" i="2"/>
  <c r="B101" i="2"/>
  <c r="C99" i="2"/>
  <c r="D99" i="2"/>
  <c r="E99" i="2"/>
  <c r="F99" i="2"/>
  <c r="G99" i="2"/>
  <c r="H99" i="2"/>
  <c r="I99" i="2"/>
  <c r="J99" i="2"/>
  <c r="K99" i="2"/>
  <c r="L99" i="2"/>
  <c r="M99" i="2"/>
  <c r="N99" i="2"/>
  <c r="O99" i="2"/>
  <c r="P99" i="2"/>
  <c r="Q99" i="2"/>
  <c r="R99" i="2"/>
  <c r="S99" i="2"/>
  <c r="T99" i="2"/>
  <c r="U99" i="2"/>
  <c r="V99" i="2"/>
  <c r="W99" i="2"/>
  <c r="X99" i="2"/>
  <c r="C98" i="2"/>
  <c r="D98" i="2"/>
  <c r="E98" i="2"/>
  <c r="F98" i="2"/>
  <c r="G98" i="2"/>
  <c r="H98" i="2"/>
  <c r="I98" i="2"/>
  <c r="J98" i="2"/>
  <c r="K98" i="2"/>
  <c r="L98" i="2"/>
  <c r="M98" i="2"/>
  <c r="N98" i="2"/>
  <c r="O98" i="2"/>
  <c r="P98" i="2"/>
  <c r="Q98" i="2"/>
  <c r="R98" i="2"/>
  <c r="S98" i="2"/>
  <c r="T98" i="2"/>
  <c r="U98" i="2"/>
  <c r="V98" i="2"/>
  <c r="W98" i="2"/>
  <c r="X98" i="2"/>
  <c r="B99" i="2"/>
  <c r="B98" i="2"/>
  <c r="C94" i="2"/>
  <c r="D94" i="2"/>
  <c r="E94" i="2"/>
  <c r="F94" i="2"/>
  <c r="G94" i="2"/>
  <c r="G97" i="2" s="1"/>
  <c r="H94" i="2"/>
  <c r="H97" i="2" s="1"/>
  <c r="I94" i="2"/>
  <c r="I97" i="2" s="1"/>
  <c r="J94" i="2"/>
  <c r="J97" i="2" s="1"/>
  <c r="K94" i="2"/>
  <c r="L94" i="2"/>
  <c r="M94" i="2"/>
  <c r="N94" i="2"/>
  <c r="O94" i="2"/>
  <c r="P94" i="2"/>
  <c r="Q94" i="2"/>
  <c r="Q97" i="2" s="1"/>
  <c r="R94" i="2"/>
  <c r="R97" i="2" s="1"/>
  <c r="S94" i="2"/>
  <c r="T94" i="2"/>
  <c r="U94" i="2"/>
  <c r="V94" i="2"/>
  <c r="W94" i="2"/>
  <c r="X94" i="2"/>
  <c r="C95" i="2"/>
  <c r="D95" i="2"/>
  <c r="E95" i="2"/>
  <c r="F95" i="2"/>
  <c r="G95" i="2"/>
  <c r="H95" i="2"/>
  <c r="I95" i="2"/>
  <c r="J95" i="2"/>
  <c r="K95" i="2"/>
  <c r="L95" i="2"/>
  <c r="M95" i="2"/>
  <c r="N95" i="2"/>
  <c r="O95" i="2"/>
  <c r="P95" i="2"/>
  <c r="Q95" i="2"/>
  <c r="R95" i="2"/>
  <c r="S95" i="2"/>
  <c r="T95" i="2"/>
  <c r="U95" i="2"/>
  <c r="V95" i="2"/>
  <c r="W95" i="2"/>
  <c r="X95" i="2"/>
  <c r="C96" i="2"/>
  <c r="D96" i="2"/>
  <c r="E96" i="2"/>
  <c r="F96" i="2"/>
  <c r="F97" i="2" s="1"/>
  <c r="G96" i="2"/>
  <c r="H96" i="2"/>
  <c r="I96" i="2"/>
  <c r="J96" i="2"/>
  <c r="K96" i="2"/>
  <c r="L96" i="2"/>
  <c r="M96" i="2"/>
  <c r="N96" i="2"/>
  <c r="N97" i="2" s="1"/>
  <c r="O96" i="2"/>
  <c r="O97" i="2" s="1"/>
  <c r="P96" i="2"/>
  <c r="Q96" i="2"/>
  <c r="R96" i="2"/>
  <c r="S96" i="2"/>
  <c r="T96" i="2"/>
  <c r="U96" i="2"/>
  <c r="V96" i="2"/>
  <c r="V97" i="2" s="1"/>
  <c r="W96" i="2"/>
  <c r="W97" i="2" s="1"/>
  <c r="X96" i="2"/>
  <c r="P97" i="2"/>
  <c r="X97" i="2"/>
  <c r="B97" i="2"/>
  <c r="B95" i="2"/>
  <c r="B96" i="2"/>
  <c r="B94" i="2"/>
  <c r="C92" i="2"/>
  <c r="D92" i="2"/>
  <c r="E92" i="2"/>
  <c r="F92" i="2"/>
  <c r="G92" i="2"/>
  <c r="H92" i="2"/>
  <c r="I92" i="2"/>
  <c r="J92" i="2"/>
  <c r="K92" i="2"/>
  <c r="L92" i="2"/>
  <c r="M92" i="2"/>
  <c r="N92" i="2"/>
  <c r="O92" i="2"/>
  <c r="P92" i="2"/>
  <c r="Q92" i="2"/>
  <c r="R92" i="2"/>
  <c r="S92" i="2"/>
  <c r="T92" i="2"/>
  <c r="U92" i="2"/>
  <c r="V92" i="2"/>
  <c r="W92" i="2"/>
  <c r="X92" i="2"/>
  <c r="B92" i="2"/>
  <c r="E47" i="2"/>
  <c r="B61" i="3"/>
  <c r="B62" i="3"/>
  <c r="B60" i="3"/>
  <c r="B59" i="3"/>
  <c r="B58" i="3"/>
  <c r="B57" i="3"/>
  <c r="B55" i="3"/>
  <c r="B54" i="3"/>
  <c r="B53" i="3"/>
  <c r="B51" i="3"/>
  <c r="B50" i="3"/>
  <c r="B52" i="3"/>
  <c r="B45" i="3"/>
  <c r="B43" i="3"/>
  <c r="B42" i="3"/>
  <c r="B41" i="3"/>
  <c r="B40" i="3"/>
  <c r="B38" i="3"/>
  <c r="B37" i="3"/>
  <c r="B36" i="3"/>
  <c r="B34" i="3"/>
  <c r="B33" i="3"/>
  <c r="B35" i="3" s="1"/>
  <c r="B28" i="3"/>
  <c r="B27" i="3"/>
  <c r="B25" i="3"/>
  <c r="B24" i="3"/>
  <c r="C8" i="3"/>
  <c r="C12" i="3" s="1"/>
  <c r="C19" i="3" s="1"/>
  <c r="B8" i="3"/>
  <c r="B12" i="3" s="1"/>
  <c r="B19" i="3" s="1"/>
  <c r="C24" i="3"/>
  <c r="M97" i="2" l="1"/>
  <c r="S97" i="2"/>
  <c r="K97" i="2"/>
  <c r="U97" i="2"/>
  <c r="E97" i="2"/>
  <c r="C97" i="2"/>
  <c r="T97" i="2"/>
  <c r="L97" i="2"/>
  <c r="D97" i="2"/>
  <c r="B21" i="3"/>
  <c r="B29" i="3"/>
  <c r="B26" i="3"/>
  <c r="B56" i="3"/>
  <c r="B63" i="3" s="1"/>
  <c r="B39" i="3"/>
  <c r="B46" i="3" s="1"/>
  <c r="B33" i="9" l="1"/>
  <c r="B34" i="9"/>
  <c r="B35" i="9"/>
  <c r="B36" i="9"/>
  <c r="B37" i="9"/>
  <c r="B38" i="9"/>
  <c r="B39" i="9"/>
  <c r="B40" i="9"/>
  <c r="B22" i="9"/>
  <c r="B23" i="9"/>
  <c r="B24" i="9"/>
  <c r="B25" i="9"/>
  <c r="B26" i="9"/>
  <c r="B27" i="9"/>
  <c r="B28" i="9"/>
  <c r="B29" i="9"/>
  <c r="B66" i="12" l="1"/>
  <c r="N66" i="12"/>
  <c r="C66" i="12"/>
  <c r="D66" i="12"/>
  <c r="E66" i="12"/>
  <c r="F66" i="12"/>
  <c r="G66" i="12"/>
  <c r="H66" i="12"/>
  <c r="I66" i="12"/>
  <c r="J66" i="12"/>
  <c r="K66" i="12"/>
  <c r="L66" i="12"/>
  <c r="M66" i="12"/>
  <c r="N61" i="12"/>
  <c r="N49" i="12"/>
  <c r="N50" i="12"/>
  <c r="N51" i="12"/>
  <c r="N52" i="12"/>
  <c r="N53" i="12"/>
  <c r="N54" i="12"/>
  <c r="N55" i="12"/>
  <c r="N56" i="12"/>
  <c r="N57" i="12"/>
  <c r="B74" i="12" s="1"/>
  <c r="N58" i="12"/>
  <c r="N59" i="12"/>
  <c r="N48" i="12"/>
  <c r="B82" i="12" s="1"/>
  <c r="N31" i="12"/>
  <c r="N32" i="12"/>
  <c r="N33" i="12"/>
  <c r="N34" i="12"/>
  <c r="N35" i="12"/>
  <c r="N36" i="12"/>
  <c r="N37" i="12"/>
  <c r="N38" i="12"/>
  <c r="B79" i="12" s="1"/>
  <c r="N39" i="12"/>
  <c r="N40" i="12"/>
  <c r="N41" i="12"/>
  <c r="N42" i="12"/>
  <c r="N43" i="12"/>
  <c r="N44" i="12"/>
  <c r="N45" i="12"/>
  <c r="N30" i="12"/>
  <c r="N9" i="12"/>
  <c r="N10" i="12"/>
  <c r="N11" i="12"/>
  <c r="N12" i="12"/>
  <c r="N13" i="12"/>
  <c r="N14" i="12"/>
  <c r="N15" i="12"/>
  <c r="N16" i="12"/>
  <c r="N17" i="12"/>
  <c r="N18" i="12"/>
  <c r="N19" i="12"/>
  <c r="N20" i="12"/>
  <c r="N21" i="12"/>
  <c r="N22" i="12"/>
  <c r="N23" i="12"/>
  <c r="N24" i="12"/>
  <c r="N25" i="12"/>
  <c r="N26" i="12"/>
  <c r="N8" i="12"/>
  <c r="N6" i="12"/>
  <c r="J40" i="12"/>
  <c r="J46" i="12" s="1"/>
  <c r="E46" i="12"/>
  <c r="F46" i="12"/>
  <c r="G46" i="12"/>
  <c r="H46" i="12"/>
  <c r="I46" i="12"/>
  <c r="K46" i="12"/>
  <c r="L46" i="12"/>
  <c r="M46" i="12"/>
  <c r="D46" i="12"/>
  <c r="C46" i="12"/>
  <c r="B46" i="12"/>
  <c r="C60" i="12"/>
  <c r="D60" i="12"/>
  <c r="E60" i="12"/>
  <c r="F60" i="12"/>
  <c r="G60" i="12"/>
  <c r="H60" i="12"/>
  <c r="I60" i="12"/>
  <c r="J60" i="12"/>
  <c r="K60" i="12"/>
  <c r="L60" i="12"/>
  <c r="M60" i="12"/>
  <c r="B60" i="12"/>
  <c r="C27" i="12"/>
  <c r="D27" i="12"/>
  <c r="E27" i="12"/>
  <c r="F27" i="12"/>
  <c r="G27" i="12"/>
  <c r="H27" i="12"/>
  <c r="I27" i="12"/>
  <c r="J27" i="12"/>
  <c r="K27" i="12"/>
  <c r="L27" i="12"/>
  <c r="M27" i="12"/>
  <c r="B27" i="12"/>
  <c r="B86" i="2"/>
  <c r="B85" i="2"/>
  <c r="B84" i="2"/>
  <c r="Q79" i="2"/>
  <c r="W75" i="2"/>
  <c r="W74" i="2"/>
  <c r="E74" i="2"/>
  <c r="F74" i="2"/>
  <c r="G74" i="2"/>
  <c r="H74" i="2"/>
  <c r="I74" i="2"/>
  <c r="J74" i="2"/>
  <c r="K74" i="2"/>
  <c r="L74" i="2"/>
  <c r="M74" i="2"/>
  <c r="N74" i="2"/>
  <c r="O74" i="2"/>
  <c r="P74" i="2"/>
  <c r="Q74" i="2"/>
  <c r="R74" i="2"/>
  <c r="S74" i="2"/>
  <c r="T74" i="2"/>
  <c r="U74" i="2"/>
  <c r="V74" i="2"/>
  <c r="E75" i="2"/>
  <c r="F75" i="2"/>
  <c r="G75" i="2"/>
  <c r="H75" i="2"/>
  <c r="I75" i="2"/>
  <c r="J75" i="2"/>
  <c r="K75" i="2"/>
  <c r="L75" i="2"/>
  <c r="M75" i="2"/>
  <c r="N75" i="2"/>
  <c r="O75" i="2"/>
  <c r="P75" i="2"/>
  <c r="Q75" i="2"/>
  <c r="R75" i="2"/>
  <c r="S75" i="2"/>
  <c r="T75" i="2"/>
  <c r="U75" i="2"/>
  <c r="V75" i="2"/>
  <c r="E77" i="2"/>
  <c r="F77" i="2"/>
  <c r="G77" i="2"/>
  <c r="H77" i="2"/>
  <c r="I77" i="2"/>
  <c r="J77" i="2"/>
  <c r="K77" i="2"/>
  <c r="L77" i="2"/>
  <c r="M77" i="2"/>
  <c r="N77" i="2"/>
  <c r="O77" i="2"/>
  <c r="P77" i="2"/>
  <c r="Q77" i="2"/>
  <c r="R77" i="2"/>
  <c r="S77" i="2"/>
  <c r="T77" i="2"/>
  <c r="U77" i="2"/>
  <c r="V77" i="2"/>
  <c r="W77" i="2"/>
  <c r="E79" i="2"/>
  <c r="F79" i="2"/>
  <c r="G79" i="2"/>
  <c r="H79" i="2"/>
  <c r="I79" i="2"/>
  <c r="J79" i="2"/>
  <c r="K79" i="2"/>
  <c r="L79" i="2"/>
  <c r="M79" i="2"/>
  <c r="N79" i="2"/>
  <c r="O79" i="2"/>
  <c r="P79" i="2"/>
  <c r="R79" i="2"/>
  <c r="S79" i="2"/>
  <c r="T79" i="2"/>
  <c r="U79" i="2"/>
  <c r="V79" i="2"/>
  <c r="W79" i="2"/>
  <c r="E80" i="2"/>
  <c r="F80" i="2"/>
  <c r="G80" i="2"/>
  <c r="H80" i="2"/>
  <c r="I80" i="2"/>
  <c r="D80" i="2"/>
  <c r="D79" i="2"/>
  <c r="D77" i="2"/>
  <c r="D75" i="2"/>
  <c r="D74" i="2"/>
  <c r="B80" i="2"/>
  <c r="B79" i="2"/>
  <c r="B77" i="2"/>
  <c r="B75" i="2"/>
  <c r="B74" i="2"/>
  <c r="U65" i="2"/>
  <c r="U67" i="2" s="1"/>
  <c r="U70" i="2" s="1"/>
  <c r="C65" i="2"/>
  <c r="C67" i="2" s="1"/>
  <c r="D65" i="2"/>
  <c r="D67" i="2" s="1"/>
  <c r="E65" i="2"/>
  <c r="E67" i="2" s="1"/>
  <c r="E70" i="2" s="1"/>
  <c r="F65" i="2"/>
  <c r="F67" i="2" s="1"/>
  <c r="F70" i="2" s="1"/>
  <c r="G65" i="2"/>
  <c r="G67" i="2" s="1"/>
  <c r="G70" i="2" s="1"/>
  <c r="H65" i="2"/>
  <c r="H67" i="2" s="1"/>
  <c r="H70" i="2" s="1"/>
  <c r="I65" i="2"/>
  <c r="I67" i="2" s="1"/>
  <c r="I70" i="2" s="1"/>
  <c r="J65" i="2"/>
  <c r="J67" i="2" s="1"/>
  <c r="J70" i="2" s="1"/>
  <c r="K65" i="2"/>
  <c r="K67" i="2" s="1"/>
  <c r="K70" i="2" s="1"/>
  <c r="L65" i="2"/>
  <c r="L67" i="2" s="1"/>
  <c r="L70" i="2" s="1"/>
  <c r="M65" i="2"/>
  <c r="M67" i="2" s="1"/>
  <c r="M70" i="2" s="1"/>
  <c r="L81" i="2" s="1"/>
  <c r="N65" i="2"/>
  <c r="N67" i="2" s="1"/>
  <c r="N70" i="2" s="1"/>
  <c r="M81" i="2" s="1"/>
  <c r="O65" i="2"/>
  <c r="O67" i="2" s="1"/>
  <c r="O70" i="2" s="1"/>
  <c r="P65" i="2"/>
  <c r="P67" i="2" s="1"/>
  <c r="P70" i="2" s="1"/>
  <c r="Q65" i="2"/>
  <c r="Q67" i="2" s="1"/>
  <c r="Q70" i="2" s="1"/>
  <c r="R65" i="2"/>
  <c r="R67" i="2" s="1"/>
  <c r="R70" i="2" s="1"/>
  <c r="S65" i="2"/>
  <c r="S67" i="2" s="1"/>
  <c r="S70" i="2" s="1"/>
  <c r="T65" i="2"/>
  <c r="T67" i="2" s="1"/>
  <c r="T70" i="2" s="1"/>
  <c r="V65" i="2"/>
  <c r="V67" i="2" s="1"/>
  <c r="V70" i="2" s="1"/>
  <c r="W65" i="2"/>
  <c r="W67" i="2" s="1"/>
  <c r="W70" i="2" s="1"/>
  <c r="X65" i="2"/>
  <c r="X67" i="2" s="1"/>
  <c r="X70" i="2" s="1"/>
  <c r="B65" i="2"/>
  <c r="B67" i="2" s="1"/>
  <c r="B70" i="2" s="1"/>
  <c r="C116" i="1"/>
  <c r="D116" i="1"/>
  <c r="E116" i="1"/>
  <c r="F116" i="1"/>
  <c r="G116" i="1"/>
  <c r="H116" i="1"/>
  <c r="I116" i="1"/>
  <c r="J116" i="1"/>
  <c r="K116" i="1"/>
  <c r="L116" i="1"/>
  <c r="M116" i="1"/>
  <c r="B116" i="1"/>
  <c r="C112" i="1"/>
  <c r="D112" i="1"/>
  <c r="E112" i="1"/>
  <c r="F112" i="1"/>
  <c r="G112" i="1"/>
  <c r="H112" i="1"/>
  <c r="I112" i="1"/>
  <c r="J112" i="1"/>
  <c r="K112" i="1"/>
  <c r="L112" i="1"/>
  <c r="M112" i="1"/>
  <c r="B112" i="1"/>
  <c r="C106" i="1"/>
  <c r="C108" i="1" s="1"/>
  <c r="C117" i="1" s="1"/>
  <c r="C119" i="1" s="1"/>
  <c r="D106" i="1"/>
  <c r="D108" i="1" s="1"/>
  <c r="E106" i="1"/>
  <c r="E108" i="1" s="1"/>
  <c r="F106" i="1"/>
  <c r="F108" i="1" s="1"/>
  <c r="G106" i="1"/>
  <c r="G108" i="1" s="1"/>
  <c r="H106" i="1"/>
  <c r="H108" i="1" s="1"/>
  <c r="I106" i="1"/>
  <c r="I108" i="1" s="1"/>
  <c r="J106" i="1"/>
  <c r="J108" i="1" s="1"/>
  <c r="K106" i="1"/>
  <c r="K108" i="1" s="1"/>
  <c r="L106" i="1"/>
  <c r="L108" i="1" s="1"/>
  <c r="M106" i="1"/>
  <c r="M108" i="1" s="1"/>
  <c r="B106" i="1"/>
  <c r="B108" i="1" s="1"/>
  <c r="E117" i="1" l="1"/>
  <c r="E119" i="1" s="1"/>
  <c r="D117" i="1"/>
  <c r="D119" i="1" s="1"/>
  <c r="E81" i="2"/>
  <c r="S81" i="2"/>
  <c r="R81" i="2"/>
  <c r="D76" i="2"/>
  <c r="I81" i="2"/>
  <c r="U76" i="2"/>
  <c r="T76" i="2"/>
  <c r="E76" i="2"/>
  <c r="Q81" i="2"/>
  <c r="U81" i="2"/>
  <c r="T81" i="2"/>
  <c r="J81" i="2"/>
  <c r="N27" i="12"/>
  <c r="B72" i="12" s="1"/>
  <c r="B75" i="12"/>
  <c r="N46" i="12"/>
  <c r="B73" i="12"/>
  <c r="B83" i="12"/>
  <c r="B80" i="12"/>
  <c r="B78" i="12"/>
  <c r="B84" i="12" s="1"/>
  <c r="N60" i="12"/>
  <c r="M62" i="12"/>
  <c r="M64" i="12" s="1"/>
  <c r="B62" i="12"/>
  <c r="B64" i="12" s="1"/>
  <c r="H62" i="12"/>
  <c r="G62" i="12"/>
  <c r="G64" i="12" s="1"/>
  <c r="F62" i="12"/>
  <c r="F64" i="12" s="1"/>
  <c r="L62" i="12"/>
  <c r="L64" i="12" s="1"/>
  <c r="D62" i="12"/>
  <c r="D64" i="12" s="1"/>
  <c r="E62" i="12"/>
  <c r="E64" i="12" s="1"/>
  <c r="K62" i="12"/>
  <c r="K64" i="12" s="1"/>
  <c r="C62" i="12"/>
  <c r="C64" i="12" s="1"/>
  <c r="J62" i="12"/>
  <c r="I62" i="12"/>
  <c r="I64" i="12" s="1"/>
  <c r="H64" i="12"/>
  <c r="O81" i="2"/>
  <c r="H81" i="2"/>
  <c r="B76" i="2"/>
  <c r="W81" i="2"/>
  <c r="F81" i="2"/>
  <c r="K81" i="2"/>
  <c r="S76" i="2"/>
  <c r="R76" i="2"/>
  <c r="G81" i="2"/>
  <c r="N81" i="2"/>
  <c r="V81" i="2"/>
  <c r="Q76" i="2"/>
  <c r="P81" i="2"/>
  <c r="I76" i="2"/>
  <c r="M76" i="2"/>
  <c r="L76" i="2"/>
  <c r="C70" i="2"/>
  <c r="B81" i="2" s="1"/>
  <c r="B78" i="2"/>
  <c r="D70" i="2"/>
  <c r="D81" i="2" s="1"/>
  <c r="D78" i="2"/>
  <c r="K76" i="2"/>
  <c r="J76" i="2"/>
  <c r="O78" i="2"/>
  <c r="V78" i="2"/>
  <c r="U78" i="2"/>
  <c r="K78" i="2"/>
  <c r="W78" i="2"/>
  <c r="G78" i="2"/>
  <c r="F78" i="2"/>
  <c r="M78" i="2"/>
  <c r="E78" i="2"/>
  <c r="T78" i="2"/>
  <c r="R78" i="2"/>
  <c r="J78" i="2"/>
  <c r="P76" i="2"/>
  <c r="H76" i="2"/>
  <c r="N78" i="2"/>
  <c r="L78" i="2"/>
  <c r="Q78" i="2"/>
  <c r="I78" i="2"/>
  <c r="W76" i="2"/>
  <c r="O76" i="2"/>
  <c r="G76" i="2"/>
  <c r="S78" i="2"/>
  <c r="P78" i="2"/>
  <c r="H78" i="2"/>
  <c r="V76" i="2"/>
  <c r="N76" i="2"/>
  <c r="F76" i="2"/>
  <c r="M117" i="1"/>
  <c r="M119" i="1" s="1"/>
  <c r="L117" i="1"/>
  <c r="L119" i="1" s="1"/>
  <c r="K117" i="1"/>
  <c r="K119" i="1" s="1"/>
  <c r="J117" i="1"/>
  <c r="J119" i="1" s="1"/>
  <c r="I117" i="1"/>
  <c r="I119" i="1" s="1"/>
  <c r="H117" i="1"/>
  <c r="H119" i="1" s="1"/>
  <c r="G117" i="1"/>
  <c r="G119" i="1" s="1"/>
  <c r="F117" i="1"/>
  <c r="F119" i="1" s="1"/>
  <c r="B117" i="1"/>
  <c r="B119" i="1" s="1"/>
  <c r="E58" i="2"/>
  <c r="F58" i="2"/>
  <c r="G58" i="2"/>
  <c r="H58" i="2"/>
  <c r="I58" i="2"/>
  <c r="J58" i="2"/>
  <c r="K58" i="2"/>
  <c r="L58" i="2"/>
  <c r="M58" i="2"/>
  <c r="N58" i="2"/>
  <c r="D58" i="2"/>
  <c r="E60" i="5"/>
  <c r="B60" i="5"/>
  <c r="C60" i="5"/>
  <c r="D60" i="5"/>
  <c r="F60" i="5"/>
  <c r="G60" i="5"/>
  <c r="H60" i="5"/>
  <c r="B50" i="5"/>
  <c r="C50" i="5"/>
  <c r="D50" i="5"/>
  <c r="E50" i="5"/>
  <c r="F50" i="5"/>
  <c r="G50" i="5"/>
  <c r="H50" i="5"/>
  <c r="B19" i="5"/>
  <c r="B15" i="5"/>
  <c r="C19" i="5"/>
  <c r="C15" i="5"/>
  <c r="D19" i="5"/>
  <c r="D15" i="5"/>
  <c r="E19" i="5"/>
  <c r="E15" i="5"/>
  <c r="F19" i="5"/>
  <c r="F15" i="5"/>
  <c r="G19" i="5"/>
  <c r="G15" i="5"/>
  <c r="H19" i="5"/>
  <c r="H15" i="5"/>
  <c r="B76" i="12" l="1"/>
  <c r="J64" i="12"/>
  <c r="N62" i="12"/>
  <c r="N64" i="12" s="1"/>
  <c r="B21" i="5"/>
  <c r="C21" i="5"/>
  <c r="D21" i="5"/>
  <c r="F21" i="5"/>
  <c r="G21" i="5"/>
  <c r="H21" i="5"/>
  <c r="E21" i="5"/>
  <c r="H32" i="11"/>
  <c r="F35" i="11"/>
  <c r="F34" i="11"/>
  <c r="F33" i="11"/>
  <c r="F32" i="11"/>
  <c r="H35" i="11"/>
  <c r="H34" i="11"/>
  <c r="H33" i="11"/>
  <c r="D30" i="5" l="1"/>
  <c r="D40" i="5"/>
  <c r="D38" i="5"/>
  <c r="D34" i="5"/>
  <c r="D37" i="5"/>
  <c r="D33" i="5"/>
  <c r="D32" i="5"/>
  <c r="D31" i="5"/>
  <c r="D29" i="5"/>
  <c r="D28" i="5"/>
  <c r="D27" i="5"/>
  <c r="D26" i="5"/>
  <c r="C29" i="5"/>
  <c r="C26" i="5"/>
  <c r="C34" i="5"/>
  <c r="C32" i="5"/>
  <c r="C30" i="5"/>
  <c r="C28" i="5"/>
  <c r="C40" i="5"/>
  <c r="C27" i="5"/>
  <c r="C38" i="5"/>
  <c r="C37" i="5"/>
  <c r="C39" i="5" s="1"/>
  <c r="C33" i="5"/>
  <c r="C31" i="5"/>
  <c r="E31" i="5"/>
  <c r="E28" i="5"/>
  <c r="E27" i="5"/>
  <c r="E26" i="5"/>
  <c r="E37" i="5"/>
  <c r="E32" i="5"/>
  <c r="E30" i="5"/>
  <c r="E29" i="5"/>
  <c r="E40" i="5"/>
  <c r="E38" i="5"/>
  <c r="E34" i="5"/>
  <c r="E33" i="5"/>
  <c r="H26" i="5"/>
  <c r="H34" i="5"/>
  <c r="H37" i="5"/>
  <c r="H39" i="5" s="1"/>
  <c r="H29" i="5"/>
  <c r="H27" i="5"/>
  <c r="H38" i="5"/>
  <c r="H33" i="5"/>
  <c r="H32" i="5"/>
  <c r="H31" i="5"/>
  <c r="H30" i="5"/>
  <c r="H28" i="5"/>
  <c r="H40" i="5"/>
  <c r="G33" i="5"/>
  <c r="G31" i="5"/>
  <c r="G30" i="5"/>
  <c r="G29" i="5"/>
  <c r="G28" i="5"/>
  <c r="G40" i="5"/>
  <c r="G27" i="5"/>
  <c r="G38" i="5"/>
  <c r="G26" i="5"/>
  <c r="G34" i="5"/>
  <c r="G37" i="5"/>
  <c r="G32" i="5"/>
  <c r="F32" i="5"/>
  <c r="F29" i="5"/>
  <c r="F40" i="5"/>
  <c r="F34" i="5"/>
  <c r="F33" i="5"/>
  <c r="F31" i="5"/>
  <c r="F30" i="5"/>
  <c r="F28" i="5"/>
  <c r="F27" i="5"/>
  <c r="F38" i="5"/>
  <c r="F26" i="5"/>
  <c r="F37" i="5"/>
  <c r="B40" i="5"/>
  <c r="B28" i="5"/>
  <c r="B33" i="5"/>
  <c r="B32" i="5"/>
  <c r="B30" i="5"/>
  <c r="B29" i="5"/>
  <c r="B37" i="5"/>
  <c r="B39" i="5" s="1"/>
  <c r="B27" i="5"/>
  <c r="B38" i="5"/>
  <c r="B34" i="5"/>
  <c r="B31" i="5"/>
  <c r="B26" i="5"/>
  <c r="S62" i="3"/>
  <c r="S60" i="3"/>
  <c r="S59" i="3"/>
  <c r="S58" i="3"/>
  <c r="S57" i="3"/>
  <c r="S55" i="3"/>
  <c r="S54" i="3"/>
  <c r="S53" i="3"/>
  <c r="S51" i="3"/>
  <c r="S50" i="3"/>
  <c r="R62" i="3"/>
  <c r="R60" i="3"/>
  <c r="R59" i="3"/>
  <c r="R58" i="3"/>
  <c r="R57" i="3"/>
  <c r="R55" i="3"/>
  <c r="R54" i="3"/>
  <c r="R53" i="3"/>
  <c r="R51" i="3"/>
  <c r="R50" i="3"/>
  <c r="Q62" i="3"/>
  <c r="Q60" i="3"/>
  <c r="Q59" i="3"/>
  <c r="Q58" i="3"/>
  <c r="Q57" i="3"/>
  <c r="Q55" i="3"/>
  <c r="Q54" i="3"/>
  <c r="Q53" i="3"/>
  <c r="Q51" i="3"/>
  <c r="Q50" i="3"/>
  <c r="P62" i="3"/>
  <c r="P60" i="3"/>
  <c r="P59" i="3"/>
  <c r="P58" i="3"/>
  <c r="P57" i="3"/>
  <c r="P55" i="3"/>
  <c r="P54" i="3"/>
  <c r="P53" i="3"/>
  <c r="P51" i="3"/>
  <c r="P50" i="3"/>
  <c r="O62" i="3"/>
  <c r="O60" i="3"/>
  <c r="O59" i="3"/>
  <c r="O58" i="3"/>
  <c r="O57" i="3"/>
  <c r="O55" i="3"/>
  <c r="O54" i="3"/>
  <c r="O53" i="3"/>
  <c r="O51" i="3"/>
  <c r="O50" i="3"/>
  <c r="N62" i="3"/>
  <c r="N60" i="3"/>
  <c r="N59" i="3"/>
  <c r="N58" i="3"/>
  <c r="N57" i="3"/>
  <c r="N55" i="3"/>
  <c r="N54" i="3"/>
  <c r="N53" i="3"/>
  <c r="N51" i="3"/>
  <c r="N50" i="3"/>
  <c r="N52" i="3" s="1"/>
  <c r="M62" i="3"/>
  <c r="M60" i="3"/>
  <c r="M59" i="3"/>
  <c r="M58" i="3"/>
  <c r="M57" i="3"/>
  <c r="M55" i="3"/>
  <c r="M54" i="3"/>
  <c r="M53" i="3"/>
  <c r="M51" i="3"/>
  <c r="M50" i="3"/>
  <c r="M52" i="3" s="1"/>
  <c r="L62" i="3"/>
  <c r="L60" i="3"/>
  <c r="L59" i="3"/>
  <c r="L58" i="3"/>
  <c r="L57" i="3"/>
  <c r="L55" i="3"/>
  <c r="L54" i="3"/>
  <c r="L53" i="3"/>
  <c r="L51" i="3"/>
  <c r="L50" i="3"/>
  <c r="L52" i="3" s="1"/>
  <c r="K62" i="3"/>
  <c r="K60" i="3"/>
  <c r="K59" i="3"/>
  <c r="K58" i="3"/>
  <c r="K57" i="3"/>
  <c r="K55" i="3"/>
  <c r="K54" i="3"/>
  <c r="K53" i="3"/>
  <c r="K51" i="3"/>
  <c r="K50" i="3"/>
  <c r="J62" i="3"/>
  <c r="J60" i="3"/>
  <c r="J59" i="3"/>
  <c r="J58" i="3"/>
  <c r="J57" i="3"/>
  <c r="J55" i="3"/>
  <c r="J54" i="3"/>
  <c r="J53" i="3"/>
  <c r="J51" i="3"/>
  <c r="J50" i="3"/>
  <c r="I62" i="3"/>
  <c r="I60" i="3"/>
  <c r="I59" i="3"/>
  <c r="I58" i="3"/>
  <c r="I57" i="3"/>
  <c r="I55" i="3"/>
  <c r="I54" i="3"/>
  <c r="I53" i="3"/>
  <c r="I51" i="3"/>
  <c r="I50" i="3"/>
  <c r="I52" i="3" s="1"/>
  <c r="H62" i="3"/>
  <c r="H60" i="3"/>
  <c r="H59" i="3"/>
  <c r="H58" i="3"/>
  <c r="H57" i="3"/>
  <c r="H55" i="3"/>
  <c r="H54" i="3"/>
  <c r="H53" i="3"/>
  <c r="H51" i="3"/>
  <c r="H50" i="3"/>
  <c r="G62" i="3"/>
  <c r="G60" i="3"/>
  <c r="G59" i="3"/>
  <c r="G58" i="3"/>
  <c r="G57" i="3"/>
  <c r="G55" i="3"/>
  <c r="G54" i="3"/>
  <c r="G53" i="3"/>
  <c r="G51" i="3"/>
  <c r="G50" i="3"/>
  <c r="F62" i="3"/>
  <c r="F60" i="3"/>
  <c r="F59" i="3"/>
  <c r="F58" i="3"/>
  <c r="F57" i="3"/>
  <c r="F55" i="3"/>
  <c r="F54" i="3"/>
  <c r="F53" i="3"/>
  <c r="F51" i="3"/>
  <c r="F50" i="3"/>
  <c r="C51" i="3"/>
  <c r="E62" i="3"/>
  <c r="E60" i="3"/>
  <c r="E59" i="3"/>
  <c r="E58" i="3"/>
  <c r="E57" i="3"/>
  <c r="E55" i="3"/>
  <c r="E54" i="3"/>
  <c r="E53" i="3"/>
  <c r="E51" i="3"/>
  <c r="E50" i="3"/>
  <c r="D62" i="3"/>
  <c r="D60" i="3"/>
  <c r="D59" i="3"/>
  <c r="D58" i="3"/>
  <c r="D57" i="3"/>
  <c r="D55" i="3"/>
  <c r="D54" i="3"/>
  <c r="D53" i="3"/>
  <c r="D51" i="3"/>
  <c r="D50" i="3"/>
  <c r="D52" i="3" s="1"/>
  <c r="D56" i="3" s="1"/>
  <c r="Q52" i="3"/>
  <c r="C62" i="3"/>
  <c r="C60" i="3"/>
  <c r="C59" i="3"/>
  <c r="C58" i="3"/>
  <c r="C57" i="3"/>
  <c r="C55" i="3"/>
  <c r="C54" i="3"/>
  <c r="C53" i="3"/>
  <c r="C50" i="3"/>
  <c r="G24" i="3"/>
  <c r="E46" i="1"/>
  <c r="E96" i="1" s="1"/>
  <c r="B47" i="2"/>
  <c r="B46" i="2"/>
  <c r="B48" i="2" s="1"/>
  <c r="B69" i="1" s="1"/>
  <c r="C47" i="2"/>
  <c r="D47" i="2"/>
  <c r="C46" i="2"/>
  <c r="C48" i="2" s="1"/>
  <c r="T41" i="2"/>
  <c r="C37" i="2"/>
  <c r="D37" i="2"/>
  <c r="E37" i="2"/>
  <c r="F37" i="2"/>
  <c r="G37" i="2"/>
  <c r="H37" i="2"/>
  <c r="I37" i="2"/>
  <c r="J37" i="2"/>
  <c r="K37" i="2"/>
  <c r="L37" i="2"/>
  <c r="M37" i="2"/>
  <c r="N37" i="2"/>
  <c r="O37" i="2"/>
  <c r="P37" i="2"/>
  <c r="Q37" i="2"/>
  <c r="R37" i="2"/>
  <c r="S37" i="2"/>
  <c r="T37" i="2"/>
  <c r="U37" i="2"/>
  <c r="V37" i="2"/>
  <c r="W37" i="2"/>
  <c r="X37" i="2"/>
  <c r="B37" i="2"/>
  <c r="C26" i="2"/>
  <c r="D26" i="2"/>
  <c r="E26" i="2"/>
  <c r="F26" i="2"/>
  <c r="G26" i="2"/>
  <c r="H26" i="2"/>
  <c r="I26" i="2"/>
  <c r="J26" i="2"/>
  <c r="K26" i="2"/>
  <c r="L26" i="2"/>
  <c r="M26" i="2"/>
  <c r="N26" i="2"/>
  <c r="O26" i="2"/>
  <c r="P26" i="2"/>
  <c r="Q26" i="2"/>
  <c r="R26" i="2"/>
  <c r="S26" i="2"/>
  <c r="T26" i="2"/>
  <c r="U26" i="2"/>
  <c r="V26" i="2"/>
  <c r="W26" i="2"/>
  <c r="X26" i="2"/>
  <c r="B26" i="2"/>
  <c r="C12" i="2"/>
  <c r="C16" i="2" s="1"/>
  <c r="D12" i="2"/>
  <c r="D16" i="2" s="1"/>
  <c r="E12" i="2"/>
  <c r="E16" i="2" s="1"/>
  <c r="F12" i="2"/>
  <c r="F16" i="2" s="1"/>
  <c r="G12" i="2"/>
  <c r="G16" i="2" s="1"/>
  <c r="H12" i="2"/>
  <c r="H16" i="2" s="1"/>
  <c r="I12" i="2"/>
  <c r="I16" i="2" s="1"/>
  <c r="J12" i="2"/>
  <c r="J16" i="2" s="1"/>
  <c r="K12" i="2"/>
  <c r="K16" i="2" s="1"/>
  <c r="L12" i="2"/>
  <c r="L16" i="2" s="1"/>
  <c r="M12" i="2"/>
  <c r="M16" i="2" s="1"/>
  <c r="N12" i="2"/>
  <c r="N16" i="2" s="1"/>
  <c r="O12" i="2"/>
  <c r="O16" i="2" s="1"/>
  <c r="P12" i="2"/>
  <c r="P16" i="2" s="1"/>
  <c r="Q12" i="2"/>
  <c r="Q16" i="2" s="1"/>
  <c r="R12" i="2"/>
  <c r="R16" i="2" s="1"/>
  <c r="S12" i="2"/>
  <c r="S16" i="2" s="1"/>
  <c r="T12" i="2"/>
  <c r="T16" i="2" s="1"/>
  <c r="U12" i="2"/>
  <c r="U16" i="2" s="1"/>
  <c r="V12" i="2"/>
  <c r="V16" i="2" s="1"/>
  <c r="W12" i="2"/>
  <c r="W16" i="2" s="1"/>
  <c r="X12" i="2"/>
  <c r="X16" i="2" s="1"/>
  <c r="B12" i="2"/>
  <c r="B16" i="2" s="1"/>
  <c r="O52" i="3" l="1"/>
  <c r="O56" i="3" s="1"/>
  <c r="R52" i="3"/>
  <c r="R56" i="3" s="1"/>
  <c r="R63" i="3" s="1"/>
  <c r="M56" i="3"/>
  <c r="M63" i="3" s="1"/>
  <c r="C52" i="3"/>
  <c r="G52" i="3"/>
  <c r="G56" i="3" s="1"/>
  <c r="G63" i="3" s="1"/>
  <c r="S52" i="3"/>
  <c r="S56" i="3" s="1"/>
  <c r="S63" i="3" s="1"/>
  <c r="F52" i="3"/>
  <c r="F56" i="3" s="1"/>
  <c r="F63" i="3" s="1"/>
  <c r="Q56" i="3"/>
  <c r="Q63" i="3" s="1"/>
  <c r="F39" i="5"/>
  <c r="D39" i="5"/>
  <c r="C35" i="5"/>
  <c r="C41" i="5" s="1"/>
  <c r="H35" i="5"/>
  <c r="H41" i="5" s="1"/>
  <c r="E39" i="5"/>
  <c r="B35" i="5"/>
  <c r="B41" i="5" s="1"/>
  <c r="G35" i="5"/>
  <c r="E35" i="5"/>
  <c r="E41" i="5" s="1"/>
  <c r="G39" i="5"/>
  <c r="F35" i="5"/>
  <c r="F41" i="5" s="1"/>
  <c r="D35" i="5"/>
  <c r="P52" i="3"/>
  <c r="P56" i="3" s="1"/>
  <c r="P63" i="3" s="1"/>
  <c r="O63" i="3"/>
  <c r="N56" i="3"/>
  <c r="N63" i="3" s="1"/>
  <c r="L56" i="3"/>
  <c r="L63" i="3" s="1"/>
  <c r="K52" i="3"/>
  <c r="K56" i="3" s="1"/>
  <c r="K63" i="3" s="1"/>
  <c r="J52" i="3"/>
  <c r="J56" i="3" s="1"/>
  <c r="J63" i="3" s="1"/>
  <c r="I56" i="3"/>
  <c r="I63" i="3" s="1"/>
  <c r="H52" i="3"/>
  <c r="H56" i="3" s="1"/>
  <c r="H63" i="3" s="1"/>
  <c r="E52" i="3"/>
  <c r="E56" i="3" s="1"/>
  <c r="E63" i="3" s="1"/>
  <c r="D63" i="3"/>
  <c r="C63" i="3"/>
  <c r="B27" i="2"/>
  <c r="C60" i="1"/>
  <c r="D60" i="1"/>
  <c r="E60" i="1"/>
  <c r="F60" i="1"/>
  <c r="G60" i="1"/>
  <c r="H60" i="1"/>
  <c r="I60" i="1"/>
  <c r="J60" i="1"/>
  <c r="K60" i="1"/>
  <c r="L60" i="1"/>
  <c r="M60" i="1"/>
  <c r="N60" i="1"/>
  <c r="O60" i="1"/>
  <c r="P60" i="1"/>
  <c r="Q60" i="1"/>
  <c r="R60" i="1"/>
  <c r="S60" i="1"/>
  <c r="T60" i="1"/>
  <c r="U60" i="1"/>
  <c r="V60" i="1"/>
  <c r="W60" i="1"/>
  <c r="C61" i="1"/>
  <c r="D61" i="1"/>
  <c r="E61" i="1"/>
  <c r="F61" i="1"/>
  <c r="G61" i="1"/>
  <c r="H61" i="1"/>
  <c r="I61" i="1"/>
  <c r="J61" i="1"/>
  <c r="K61" i="1"/>
  <c r="L61" i="1"/>
  <c r="M61" i="1"/>
  <c r="N61" i="1"/>
  <c r="O61" i="1"/>
  <c r="P61" i="1"/>
  <c r="Q61" i="1"/>
  <c r="R61" i="1"/>
  <c r="S61" i="1"/>
  <c r="T61" i="1"/>
  <c r="U61" i="1"/>
  <c r="V61" i="1"/>
  <c r="W61" i="1"/>
  <c r="C63" i="1"/>
  <c r="D63" i="1"/>
  <c r="E63" i="1"/>
  <c r="F63" i="1"/>
  <c r="G63" i="1"/>
  <c r="H63" i="1"/>
  <c r="I63" i="1"/>
  <c r="J63" i="1"/>
  <c r="K63" i="1"/>
  <c r="L63" i="1"/>
  <c r="M63" i="1"/>
  <c r="N63" i="1"/>
  <c r="O63" i="1"/>
  <c r="P63" i="1"/>
  <c r="Q63" i="1"/>
  <c r="R63" i="1"/>
  <c r="S63" i="1"/>
  <c r="T63" i="1"/>
  <c r="U63" i="1"/>
  <c r="V63" i="1"/>
  <c r="W63" i="1"/>
  <c r="C64" i="1"/>
  <c r="D64" i="1"/>
  <c r="E64" i="1"/>
  <c r="F64" i="1"/>
  <c r="G64" i="1"/>
  <c r="H64" i="1"/>
  <c r="I64" i="1"/>
  <c r="J64" i="1"/>
  <c r="K64" i="1"/>
  <c r="L64" i="1"/>
  <c r="M64" i="1"/>
  <c r="N64" i="1"/>
  <c r="O64" i="1"/>
  <c r="P64" i="1"/>
  <c r="Q64" i="1"/>
  <c r="R64" i="1"/>
  <c r="S64" i="1"/>
  <c r="T64" i="1"/>
  <c r="U64" i="1"/>
  <c r="V64" i="1"/>
  <c r="W64" i="1"/>
  <c r="C65" i="1"/>
  <c r="D65" i="1"/>
  <c r="E65" i="1"/>
  <c r="F65" i="1"/>
  <c r="G65" i="1"/>
  <c r="H65" i="1"/>
  <c r="I65" i="1"/>
  <c r="J65" i="1"/>
  <c r="K65" i="1"/>
  <c r="L65" i="1"/>
  <c r="M65" i="1"/>
  <c r="N65" i="1"/>
  <c r="O65" i="1"/>
  <c r="P65" i="1"/>
  <c r="Q65" i="1"/>
  <c r="R65" i="1"/>
  <c r="S65" i="1"/>
  <c r="T65" i="1"/>
  <c r="U65" i="1"/>
  <c r="V65" i="1"/>
  <c r="W65" i="1"/>
  <c r="C66" i="1"/>
  <c r="D66" i="1"/>
  <c r="E66" i="1"/>
  <c r="F66" i="1"/>
  <c r="G66" i="1"/>
  <c r="H66" i="1"/>
  <c r="I66" i="1"/>
  <c r="J66" i="1"/>
  <c r="K66" i="1"/>
  <c r="L66" i="1"/>
  <c r="M66" i="1"/>
  <c r="N66" i="1"/>
  <c r="O66" i="1"/>
  <c r="P66" i="1"/>
  <c r="Q66" i="1"/>
  <c r="R66" i="1"/>
  <c r="S66" i="1"/>
  <c r="T66" i="1"/>
  <c r="U66" i="1"/>
  <c r="V66" i="1"/>
  <c r="W66" i="1"/>
  <c r="B66" i="1"/>
  <c r="B65" i="1"/>
  <c r="B64" i="1"/>
  <c r="B63" i="1"/>
  <c r="B61" i="1"/>
  <c r="B60" i="1"/>
  <c r="B29" i="2" l="1"/>
  <c r="B31" i="2" s="1"/>
  <c r="B39" i="2" s="1"/>
  <c r="B53" i="2"/>
  <c r="D41" i="5"/>
  <c r="G41" i="5"/>
  <c r="B43" i="2"/>
  <c r="C27" i="2"/>
  <c r="T67" i="1"/>
  <c r="T98" i="1" s="1"/>
  <c r="B67" i="1"/>
  <c r="B98" i="1" s="1"/>
  <c r="L67" i="1"/>
  <c r="L98" i="1" s="1"/>
  <c r="D67" i="1"/>
  <c r="D98" i="1" s="1"/>
  <c r="I67" i="1"/>
  <c r="I98" i="1" s="1"/>
  <c r="H67" i="1"/>
  <c r="H98" i="1" s="1"/>
  <c r="C67" i="1"/>
  <c r="C98" i="1" s="1"/>
  <c r="Q67" i="1"/>
  <c r="Q98" i="1" s="1"/>
  <c r="W67" i="1"/>
  <c r="W98" i="1" s="1"/>
  <c r="O67" i="1"/>
  <c r="O98" i="1" s="1"/>
  <c r="G67" i="1"/>
  <c r="G98" i="1" s="1"/>
  <c r="K67" i="1"/>
  <c r="K98" i="1" s="1"/>
  <c r="R67" i="1"/>
  <c r="R98" i="1" s="1"/>
  <c r="P67" i="1"/>
  <c r="P98" i="1" s="1"/>
  <c r="V67" i="1"/>
  <c r="V98" i="1" s="1"/>
  <c r="N67" i="1"/>
  <c r="N98" i="1" s="1"/>
  <c r="F67" i="1"/>
  <c r="F98" i="1" s="1"/>
  <c r="S67" i="1"/>
  <c r="S98" i="1" s="1"/>
  <c r="J67" i="1"/>
  <c r="J98" i="1" s="1"/>
  <c r="U67" i="1"/>
  <c r="U98" i="1" s="1"/>
  <c r="M67" i="1"/>
  <c r="M98" i="1" s="1"/>
  <c r="E67" i="1"/>
  <c r="E98" i="1" s="1"/>
  <c r="E99" i="1" s="1"/>
  <c r="B46" i="1"/>
  <c r="B96" i="1" s="1"/>
  <c r="C46" i="1"/>
  <c r="C96" i="1" s="1"/>
  <c r="C99" i="1" s="1"/>
  <c r="D46" i="1"/>
  <c r="D96" i="1" s="1"/>
  <c r="D99" i="1" s="1"/>
  <c r="F46" i="1"/>
  <c r="F96" i="1" s="1"/>
  <c r="G46" i="1"/>
  <c r="G96" i="1" s="1"/>
  <c r="G99" i="1" s="1"/>
  <c r="I46" i="1"/>
  <c r="I96" i="1" s="1"/>
  <c r="J46" i="1"/>
  <c r="J96" i="1" s="1"/>
  <c r="J99" i="1" s="1"/>
  <c r="L46" i="1"/>
  <c r="L96" i="1" s="1"/>
  <c r="L99" i="1" s="1"/>
  <c r="M46" i="1"/>
  <c r="M96" i="1" s="1"/>
  <c r="M99" i="1" s="1"/>
  <c r="N46" i="1"/>
  <c r="N96" i="1" s="1"/>
  <c r="O46" i="1"/>
  <c r="O96" i="1" s="1"/>
  <c r="P46" i="1"/>
  <c r="P96" i="1" s="1"/>
  <c r="P99" i="1" s="1"/>
  <c r="Q46" i="1"/>
  <c r="Q96" i="1" s="1"/>
  <c r="R46" i="1"/>
  <c r="R96" i="1" s="1"/>
  <c r="B49" i="1"/>
  <c r="B54" i="1" s="1"/>
  <c r="C16" i="1"/>
  <c r="D16" i="1"/>
  <c r="E16" i="1"/>
  <c r="F16" i="1"/>
  <c r="G16" i="1"/>
  <c r="H16" i="1"/>
  <c r="I16" i="1"/>
  <c r="J16" i="1"/>
  <c r="K16" i="1"/>
  <c r="L16" i="1"/>
  <c r="M16" i="1"/>
  <c r="N16" i="1"/>
  <c r="O16" i="1"/>
  <c r="P16" i="1"/>
  <c r="Q16" i="1"/>
  <c r="R16" i="1"/>
  <c r="S16" i="1"/>
  <c r="T16" i="1"/>
  <c r="U16" i="1"/>
  <c r="V16" i="1"/>
  <c r="W16" i="1"/>
  <c r="B16" i="1"/>
  <c r="D12" i="1"/>
  <c r="E12" i="1"/>
  <c r="F12" i="1"/>
  <c r="G12" i="1"/>
  <c r="H12" i="1"/>
  <c r="I12" i="1"/>
  <c r="J12" i="1"/>
  <c r="K12" i="1"/>
  <c r="L12" i="1"/>
  <c r="M12" i="1"/>
  <c r="N12" i="1"/>
  <c r="O12" i="1"/>
  <c r="P12" i="1"/>
  <c r="Q12" i="1"/>
  <c r="R12" i="1"/>
  <c r="S12" i="1"/>
  <c r="T12" i="1"/>
  <c r="U12" i="1"/>
  <c r="V12" i="1"/>
  <c r="W12" i="1"/>
  <c r="B12" i="1"/>
  <c r="C12" i="1"/>
  <c r="D8" i="1"/>
  <c r="E8" i="1"/>
  <c r="F8" i="1"/>
  <c r="G8" i="1"/>
  <c r="G83" i="1" s="1"/>
  <c r="H8" i="1"/>
  <c r="H83" i="1" s="1"/>
  <c r="I8" i="1"/>
  <c r="I83" i="1" s="1"/>
  <c r="J8" i="1"/>
  <c r="K8" i="1"/>
  <c r="L8" i="1"/>
  <c r="L83" i="1" s="1"/>
  <c r="M8" i="1"/>
  <c r="N8" i="1"/>
  <c r="O8" i="1"/>
  <c r="P8" i="1"/>
  <c r="P83" i="1" s="1"/>
  <c r="Q8" i="1"/>
  <c r="R8" i="1"/>
  <c r="S8" i="1"/>
  <c r="T8" i="1"/>
  <c r="T83" i="1" s="1"/>
  <c r="U8" i="1"/>
  <c r="V8" i="1"/>
  <c r="W8" i="1"/>
  <c r="B8" i="1"/>
  <c r="C8" i="1"/>
  <c r="B37" i="1"/>
  <c r="AL51" i="9"/>
  <c r="M56" i="9"/>
  <c r="F99" i="1" l="1"/>
  <c r="O99" i="1"/>
  <c r="B99" i="1"/>
  <c r="N99" i="1"/>
  <c r="R99" i="1"/>
  <c r="I99" i="1"/>
  <c r="Q99" i="1"/>
  <c r="C83" i="1"/>
  <c r="S83" i="1"/>
  <c r="Q83" i="1"/>
  <c r="B83" i="1"/>
  <c r="W83" i="1"/>
  <c r="O83" i="1"/>
  <c r="F83" i="1"/>
  <c r="U83" i="1"/>
  <c r="C29" i="2"/>
  <c r="C31" i="2" s="1"/>
  <c r="C39" i="2" s="1"/>
  <c r="C43" i="2" s="1"/>
  <c r="C53" i="2"/>
  <c r="M83" i="1"/>
  <c r="D83" i="1"/>
  <c r="K83" i="1"/>
  <c r="G82" i="1"/>
  <c r="L79" i="1"/>
  <c r="V83" i="1"/>
  <c r="N83" i="1"/>
  <c r="L82" i="1"/>
  <c r="D82" i="1"/>
  <c r="R52" i="1"/>
  <c r="R79" i="1"/>
  <c r="I79" i="1"/>
  <c r="M79" i="1"/>
  <c r="F82" i="1"/>
  <c r="B79" i="1"/>
  <c r="J79" i="1"/>
  <c r="E83" i="1"/>
  <c r="Q52" i="1"/>
  <c r="Q79" i="1"/>
  <c r="G79" i="1"/>
  <c r="C79" i="1"/>
  <c r="N82" i="1"/>
  <c r="R82" i="1"/>
  <c r="J82" i="1"/>
  <c r="P52" i="1"/>
  <c r="P79" i="1"/>
  <c r="F79" i="1"/>
  <c r="O82" i="1"/>
  <c r="M82" i="1"/>
  <c r="E82" i="1"/>
  <c r="C82" i="1"/>
  <c r="Q82" i="1"/>
  <c r="I82" i="1"/>
  <c r="O52" i="1"/>
  <c r="O79" i="1"/>
  <c r="E79" i="1"/>
  <c r="R83" i="1"/>
  <c r="J83" i="1"/>
  <c r="B82" i="1"/>
  <c r="P82" i="1"/>
  <c r="N52" i="1"/>
  <c r="N79" i="1"/>
  <c r="D79" i="1"/>
  <c r="B52" i="1"/>
  <c r="B47" i="1"/>
  <c r="U13" i="1"/>
  <c r="U94" i="1" s="1"/>
  <c r="M13" i="1"/>
  <c r="M94" i="1" s="1"/>
  <c r="O13" i="1"/>
  <c r="O94" i="1" s="1"/>
  <c r="P13" i="1"/>
  <c r="P94" i="1" s="1"/>
  <c r="B13" i="1"/>
  <c r="B94" i="1" s="1"/>
  <c r="E13" i="1"/>
  <c r="E94" i="1" s="1"/>
  <c r="H13" i="1"/>
  <c r="H94" i="1" s="1"/>
  <c r="I13" i="1"/>
  <c r="I94" i="1" s="1"/>
  <c r="J13" i="1"/>
  <c r="J94" i="1" s="1"/>
  <c r="R13" i="1"/>
  <c r="R94" i="1" s="1"/>
  <c r="Q13" i="1"/>
  <c r="Q94" i="1" s="1"/>
  <c r="V13" i="1"/>
  <c r="V94" i="1" s="1"/>
  <c r="N13" i="1"/>
  <c r="N94" i="1" s="1"/>
  <c r="F13" i="1"/>
  <c r="F94" i="1" s="1"/>
  <c r="T13" i="1"/>
  <c r="T94" i="1" s="1"/>
  <c r="L13" i="1"/>
  <c r="L94" i="1" s="1"/>
  <c r="D13" i="1"/>
  <c r="D94" i="1" s="1"/>
  <c r="W13" i="1"/>
  <c r="W94" i="1" s="1"/>
  <c r="S13" i="1"/>
  <c r="S94" i="1" s="1"/>
  <c r="K13" i="1"/>
  <c r="K94" i="1" s="1"/>
  <c r="G13" i="1"/>
  <c r="G94" i="1" s="1"/>
  <c r="C13" i="1"/>
  <c r="C94" i="1" s="1"/>
  <c r="C56" i="9"/>
  <c r="C58" i="9" s="1"/>
  <c r="D56" i="9"/>
  <c r="D58" i="9" s="1"/>
  <c r="E56" i="9"/>
  <c r="E58" i="9" s="1"/>
  <c r="F56" i="9"/>
  <c r="F58" i="9" s="1"/>
  <c r="G56" i="9"/>
  <c r="G58" i="9" s="1"/>
  <c r="H56" i="9"/>
  <c r="H58" i="9" s="1"/>
  <c r="I56" i="9"/>
  <c r="I58" i="9" s="1"/>
  <c r="J56" i="9"/>
  <c r="J58" i="9" s="1"/>
  <c r="K56" i="9"/>
  <c r="K58" i="9" s="1"/>
  <c r="L56" i="9"/>
  <c r="L58" i="9" s="1"/>
  <c r="M58" i="9"/>
  <c r="N56" i="9"/>
  <c r="N58" i="9" s="1"/>
  <c r="O56" i="9"/>
  <c r="O58" i="9" s="1"/>
  <c r="P56" i="9"/>
  <c r="P58" i="9" s="1"/>
  <c r="Q56" i="9"/>
  <c r="Q58" i="9" s="1"/>
  <c r="R56" i="9"/>
  <c r="R58" i="9" s="1"/>
  <c r="S56" i="9"/>
  <c r="S58" i="9" s="1"/>
  <c r="T56" i="9"/>
  <c r="T58" i="9" s="1"/>
  <c r="U56" i="9"/>
  <c r="U58" i="9" s="1"/>
  <c r="V56" i="9"/>
  <c r="V58" i="9" s="1"/>
  <c r="W56" i="9"/>
  <c r="W58" i="9" s="1"/>
  <c r="X56" i="9"/>
  <c r="X58" i="9" s="1"/>
  <c r="Y56" i="9"/>
  <c r="Y58" i="9" s="1"/>
  <c r="Z56" i="9"/>
  <c r="Z58" i="9" s="1"/>
  <c r="AA56" i="9"/>
  <c r="AA58" i="9" s="1"/>
  <c r="AB56" i="9"/>
  <c r="AB58" i="9" s="1"/>
  <c r="AC56" i="9"/>
  <c r="AC58" i="9" s="1"/>
  <c r="AD56" i="9"/>
  <c r="AD58" i="9" s="1"/>
  <c r="AE56" i="9"/>
  <c r="AE58" i="9" s="1"/>
  <c r="AF56" i="9"/>
  <c r="AF58" i="9" s="1"/>
  <c r="AG56" i="9"/>
  <c r="AG58" i="9" s="1"/>
  <c r="AH56" i="9"/>
  <c r="AH58" i="9" s="1"/>
  <c r="AI56" i="9"/>
  <c r="AI58" i="9" s="1"/>
  <c r="AJ56" i="9"/>
  <c r="AJ58" i="9" s="1"/>
  <c r="AK56" i="9"/>
  <c r="AL56" i="9"/>
  <c r="AM56" i="9"/>
  <c r="AN56" i="9"/>
  <c r="AO56" i="9"/>
  <c r="AP56" i="9"/>
  <c r="AQ56" i="9"/>
  <c r="AR56" i="9"/>
  <c r="AS56" i="9"/>
  <c r="AT56" i="9"/>
  <c r="AU56" i="9"/>
  <c r="AV56" i="9"/>
  <c r="B56" i="9"/>
  <c r="B58" i="9" s="1"/>
  <c r="E51" i="9"/>
  <c r="C47" i="9"/>
  <c r="C51" i="9" s="1"/>
  <c r="D47" i="9"/>
  <c r="D51" i="9" s="1"/>
  <c r="E47" i="9"/>
  <c r="F47" i="9"/>
  <c r="F51" i="9" s="1"/>
  <c r="G47" i="9"/>
  <c r="G51" i="9" s="1"/>
  <c r="H47" i="9"/>
  <c r="H51" i="9" s="1"/>
  <c r="I47" i="9"/>
  <c r="I51" i="9" s="1"/>
  <c r="J47" i="9"/>
  <c r="J51" i="9" s="1"/>
  <c r="K47" i="9"/>
  <c r="K51" i="9" s="1"/>
  <c r="L47" i="9"/>
  <c r="L51" i="9" s="1"/>
  <c r="M47" i="9"/>
  <c r="M51" i="9" s="1"/>
  <c r="N47" i="9"/>
  <c r="N51" i="9" s="1"/>
  <c r="O47" i="9"/>
  <c r="O51" i="9" s="1"/>
  <c r="P47" i="9"/>
  <c r="P51" i="9" s="1"/>
  <c r="Q47" i="9"/>
  <c r="Q51" i="9" s="1"/>
  <c r="R47" i="9"/>
  <c r="R51" i="9" s="1"/>
  <c r="S47" i="9"/>
  <c r="S51" i="9" s="1"/>
  <c r="T47" i="9"/>
  <c r="T51" i="9" s="1"/>
  <c r="U47" i="9"/>
  <c r="U51" i="9" s="1"/>
  <c r="V47" i="9"/>
  <c r="V51" i="9" s="1"/>
  <c r="W47" i="9"/>
  <c r="W51" i="9" s="1"/>
  <c r="X47" i="9"/>
  <c r="X51" i="9" s="1"/>
  <c r="Y47" i="9"/>
  <c r="Y51" i="9" s="1"/>
  <c r="Z47" i="9"/>
  <c r="Z51" i="9" s="1"/>
  <c r="AA47" i="9"/>
  <c r="AA51" i="9" s="1"/>
  <c r="AB47" i="9"/>
  <c r="AB51" i="9" s="1"/>
  <c r="AC47" i="9"/>
  <c r="AC51" i="9" s="1"/>
  <c r="AD47" i="9"/>
  <c r="AD51" i="9" s="1"/>
  <c r="AE47" i="9"/>
  <c r="AE51" i="9" s="1"/>
  <c r="AF47" i="9"/>
  <c r="AF51" i="9" s="1"/>
  <c r="AG47" i="9"/>
  <c r="AG51" i="9" s="1"/>
  <c r="AH47" i="9"/>
  <c r="AH51" i="9" s="1"/>
  <c r="AI47" i="9"/>
  <c r="AI51" i="9" s="1"/>
  <c r="AJ47" i="9"/>
  <c r="AJ51" i="9" s="1"/>
  <c r="AK47" i="9"/>
  <c r="AK51" i="9" s="1"/>
  <c r="AM47" i="9"/>
  <c r="AM51" i="9" s="1"/>
  <c r="AN47" i="9"/>
  <c r="AN51" i="9" s="1"/>
  <c r="AO47" i="9"/>
  <c r="AO51" i="9" s="1"/>
  <c r="AP47" i="9"/>
  <c r="AP51" i="9" s="1"/>
  <c r="AQ51" i="9"/>
  <c r="AR47" i="9"/>
  <c r="AR51" i="9" s="1"/>
  <c r="AS47" i="9"/>
  <c r="AS51" i="9" s="1"/>
  <c r="AT47" i="9"/>
  <c r="AT51" i="9" s="1"/>
  <c r="AU47" i="9"/>
  <c r="AU51" i="9" s="1"/>
  <c r="AV47" i="9"/>
  <c r="AV51" i="9" s="1"/>
  <c r="B47" i="9"/>
  <c r="B51" i="9" s="1"/>
  <c r="H33" i="9"/>
  <c r="C33" i="9"/>
  <c r="D39" i="9"/>
  <c r="E39" i="9"/>
  <c r="F39" i="9"/>
  <c r="G39" i="9"/>
  <c r="H39" i="9"/>
  <c r="I39" i="9"/>
  <c r="J39" i="9"/>
  <c r="K39" i="9"/>
  <c r="L39" i="9"/>
  <c r="M39" i="9"/>
  <c r="N39" i="9"/>
  <c r="O39" i="9"/>
  <c r="P39" i="9"/>
  <c r="Q39" i="9"/>
  <c r="R39" i="9"/>
  <c r="S39" i="9"/>
  <c r="T39" i="9"/>
  <c r="U39" i="9"/>
  <c r="V39" i="9"/>
  <c r="W39" i="9"/>
  <c r="X39" i="9"/>
  <c r="Y39" i="9"/>
  <c r="Z39" i="9"/>
  <c r="AA39" i="9"/>
  <c r="AB39" i="9"/>
  <c r="AC39" i="9"/>
  <c r="AD39" i="9"/>
  <c r="AE39" i="9"/>
  <c r="AF39" i="9"/>
  <c r="AG39" i="9"/>
  <c r="AH39" i="9"/>
  <c r="AI39" i="9"/>
  <c r="AJ39" i="9"/>
  <c r="C39" i="9"/>
  <c r="D38" i="9"/>
  <c r="E38" i="9"/>
  <c r="F38" i="9"/>
  <c r="G38" i="9"/>
  <c r="H38" i="9"/>
  <c r="I38" i="9"/>
  <c r="J38" i="9"/>
  <c r="K38" i="9"/>
  <c r="L38" i="9"/>
  <c r="M38" i="9"/>
  <c r="N38" i="9"/>
  <c r="O38" i="9"/>
  <c r="P38" i="9"/>
  <c r="Q38" i="9"/>
  <c r="R38" i="9"/>
  <c r="S38" i="9"/>
  <c r="T38" i="9"/>
  <c r="U38" i="9"/>
  <c r="V38" i="9"/>
  <c r="W38" i="9"/>
  <c r="X38" i="9"/>
  <c r="Y38" i="9"/>
  <c r="Z38" i="9"/>
  <c r="AA38" i="9"/>
  <c r="AB38" i="9"/>
  <c r="AC38" i="9"/>
  <c r="AD38" i="9"/>
  <c r="AE38" i="9"/>
  <c r="AF38" i="9"/>
  <c r="AG38" i="9"/>
  <c r="AH38" i="9"/>
  <c r="AI38" i="9"/>
  <c r="AJ38" i="9"/>
  <c r="C38" i="9"/>
  <c r="D36" i="9"/>
  <c r="E36" i="9"/>
  <c r="F36" i="9"/>
  <c r="G36" i="9"/>
  <c r="H36" i="9"/>
  <c r="I36" i="9"/>
  <c r="J36" i="9"/>
  <c r="K36" i="9"/>
  <c r="L36" i="9"/>
  <c r="M36" i="9"/>
  <c r="N36" i="9"/>
  <c r="O36" i="9"/>
  <c r="P36" i="9"/>
  <c r="Q36" i="9"/>
  <c r="R36" i="9"/>
  <c r="S36" i="9"/>
  <c r="T36" i="9"/>
  <c r="U36" i="9"/>
  <c r="V36" i="9"/>
  <c r="W36" i="9"/>
  <c r="X36" i="9"/>
  <c r="Y36" i="9"/>
  <c r="Z36" i="9"/>
  <c r="AA36" i="9"/>
  <c r="AB36" i="9"/>
  <c r="AC36" i="9"/>
  <c r="AD36" i="9"/>
  <c r="AE36" i="9"/>
  <c r="AF36" i="9"/>
  <c r="AG36" i="9"/>
  <c r="AH36" i="9"/>
  <c r="AI36" i="9"/>
  <c r="AJ36" i="9"/>
  <c r="C36" i="9"/>
  <c r="D34" i="9"/>
  <c r="E34" i="9"/>
  <c r="F34" i="9"/>
  <c r="G34" i="9"/>
  <c r="H34" i="9"/>
  <c r="I34" i="9"/>
  <c r="J34" i="9"/>
  <c r="K34" i="9"/>
  <c r="L34" i="9"/>
  <c r="M34" i="9"/>
  <c r="N34" i="9"/>
  <c r="O34" i="9"/>
  <c r="P34" i="9"/>
  <c r="Q34" i="9"/>
  <c r="R34" i="9"/>
  <c r="S34" i="9"/>
  <c r="T34" i="9"/>
  <c r="U34" i="9"/>
  <c r="V34" i="9"/>
  <c r="W34" i="9"/>
  <c r="X34" i="9"/>
  <c r="Y34" i="9"/>
  <c r="Z34" i="9"/>
  <c r="AA34" i="9"/>
  <c r="AB34" i="9"/>
  <c r="AC34" i="9"/>
  <c r="AD34" i="9"/>
  <c r="AE34" i="9"/>
  <c r="AF34" i="9"/>
  <c r="AG34" i="9"/>
  <c r="AH34" i="9"/>
  <c r="AI34" i="9"/>
  <c r="AJ34" i="9"/>
  <c r="C34" i="9"/>
  <c r="D33" i="9"/>
  <c r="E33" i="9"/>
  <c r="F33" i="9"/>
  <c r="G33" i="9"/>
  <c r="I33" i="9"/>
  <c r="J33" i="9"/>
  <c r="K33" i="9"/>
  <c r="L33" i="9"/>
  <c r="M33" i="9"/>
  <c r="N33" i="9"/>
  <c r="O33" i="9"/>
  <c r="P33" i="9"/>
  <c r="Q33" i="9"/>
  <c r="R33" i="9"/>
  <c r="S33" i="9"/>
  <c r="T33" i="9"/>
  <c r="U33" i="9"/>
  <c r="V33" i="9"/>
  <c r="W33" i="9"/>
  <c r="X33" i="9"/>
  <c r="Y33" i="9"/>
  <c r="Z33" i="9"/>
  <c r="AA33" i="9"/>
  <c r="AB33" i="9"/>
  <c r="AC33" i="9"/>
  <c r="AD33" i="9"/>
  <c r="AE33" i="9"/>
  <c r="AF33" i="9"/>
  <c r="AG33" i="9"/>
  <c r="AH33" i="9"/>
  <c r="AI33" i="9"/>
  <c r="AJ33" i="9"/>
  <c r="D27" i="9"/>
  <c r="E27" i="9"/>
  <c r="F27" i="9"/>
  <c r="G27" i="9"/>
  <c r="H27" i="9"/>
  <c r="I27" i="9"/>
  <c r="J27" i="9"/>
  <c r="K27" i="9"/>
  <c r="L27" i="9"/>
  <c r="M27" i="9"/>
  <c r="N27" i="9"/>
  <c r="O27" i="9"/>
  <c r="P27" i="9"/>
  <c r="Q27" i="9"/>
  <c r="R27" i="9"/>
  <c r="S27" i="9"/>
  <c r="T27" i="9"/>
  <c r="U27" i="9"/>
  <c r="V27" i="9"/>
  <c r="W27" i="9"/>
  <c r="X27" i="9"/>
  <c r="Y27" i="9"/>
  <c r="Z27" i="9"/>
  <c r="AA27" i="9"/>
  <c r="AB27" i="9"/>
  <c r="AC27" i="9"/>
  <c r="AD27" i="9"/>
  <c r="AE27" i="9"/>
  <c r="AF27" i="9"/>
  <c r="AG27" i="9"/>
  <c r="AH27" i="9"/>
  <c r="AI27" i="9"/>
  <c r="AJ27" i="9"/>
  <c r="AK27" i="9"/>
  <c r="AL27" i="9"/>
  <c r="AM27" i="9"/>
  <c r="AN27" i="9"/>
  <c r="AO27" i="9"/>
  <c r="AP27" i="9"/>
  <c r="AQ27" i="9"/>
  <c r="AR27" i="9"/>
  <c r="AS27" i="9"/>
  <c r="AT27" i="9"/>
  <c r="AU27" i="9"/>
  <c r="D28" i="9"/>
  <c r="E28" i="9"/>
  <c r="F28" i="9"/>
  <c r="G28" i="9"/>
  <c r="H28" i="9"/>
  <c r="I28" i="9"/>
  <c r="J28" i="9"/>
  <c r="K28" i="9"/>
  <c r="L28" i="9"/>
  <c r="M28" i="9"/>
  <c r="N28" i="9"/>
  <c r="O28" i="9"/>
  <c r="P28" i="9"/>
  <c r="Q28" i="9"/>
  <c r="R28" i="9"/>
  <c r="S28" i="9"/>
  <c r="T28" i="9"/>
  <c r="U28" i="9"/>
  <c r="V28" i="9"/>
  <c r="W28" i="9"/>
  <c r="X28" i="9"/>
  <c r="Y28" i="9"/>
  <c r="Z28" i="9"/>
  <c r="AA28" i="9"/>
  <c r="AB28" i="9"/>
  <c r="AC28" i="9"/>
  <c r="AD28" i="9"/>
  <c r="AE28" i="9"/>
  <c r="AF28" i="9"/>
  <c r="AG28" i="9"/>
  <c r="AH28" i="9"/>
  <c r="AI28" i="9"/>
  <c r="AJ28" i="9"/>
  <c r="AK28" i="9"/>
  <c r="AL28" i="9"/>
  <c r="AM28" i="9"/>
  <c r="AN28" i="9"/>
  <c r="AO28" i="9"/>
  <c r="AP28" i="9"/>
  <c r="AQ28" i="9"/>
  <c r="AR28" i="9"/>
  <c r="AS28" i="9"/>
  <c r="AT28" i="9"/>
  <c r="AU28" i="9"/>
  <c r="C28" i="9"/>
  <c r="C27" i="9"/>
  <c r="D25" i="9"/>
  <c r="E25" i="9"/>
  <c r="F25" i="9"/>
  <c r="G25" i="9"/>
  <c r="H25" i="9"/>
  <c r="I25" i="9"/>
  <c r="J25" i="9"/>
  <c r="K25" i="9"/>
  <c r="L25" i="9"/>
  <c r="M25" i="9"/>
  <c r="N25" i="9"/>
  <c r="O25" i="9"/>
  <c r="P25" i="9"/>
  <c r="Q25" i="9"/>
  <c r="R25" i="9"/>
  <c r="S25" i="9"/>
  <c r="T25" i="9"/>
  <c r="U25" i="9"/>
  <c r="V25" i="9"/>
  <c r="W25" i="9"/>
  <c r="X25" i="9"/>
  <c r="Y25" i="9"/>
  <c r="Z25" i="9"/>
  <c r="AA25" i="9"/>
  <c r="AB25" i="9"/>
  <c r="AC25" i="9"/>
  <c r="AD25" i="9"/>
  <c r="AE25" i="9"/>
  <c r="AF25" i="9"/>
  <c r="AG25" i="9"/>
  <c r="AH25" i="9"/>
  <c r="AI25" i="9"/>
  <c r="AJ25" i="9"/>
  <c r="AK25" i="9"/>
  <c r="AL25" i="9"/>
  <c r="AM25" i="9"/>
  <c r="AN25" i="9"/>
  <c r="AO25" i="9"/>
  <c r="AP25" i="9"/>
  <c r="AQ25" i="9"/>
  <c r="AR25" i="9"/>
  <c r="AS25" i="9"/>
  <c r="AT25" i="9"/>
  <c r="AU25" i="9"/>
  <c r="C25" i="9"/>
  <c r="D23" i="9"/>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AI23" i="9"/>
  <c r="AJ23" i="9"/>
  <c r="AK23" i="9"/>
  <c r="AL23" i="9"/>
  <c r="AM23" i="9"/>
  <c r="AN23" i="9"/>
  <c r="AO23" i="9"/>
  <c r="AP23" i="9"/>
  <c r="AQ23" i="9"/>
  <c r="AR23" i="9"/>
  <c r="AS23" i="9"/>
  <c r="AT23" i="9"/>
  <c r="AU23" i="9"/>
  <c r="C23" i="9"/>
  <c r="D22" i="9"/>
  <c r="E22" i="9"/>
  <c r="F22" i="9"/>
  <c r="G22" i="9"/>
  <c r="H22" i="9"/>
  <c r="I22" i="9"/>
  <c r="J22" i="9"/>
  <c r="K22" i="9"/>
  <c r="L22" i="9"/>
  <c r="M22" i="9"/>
  <c r="N22" i="9"/>
  <c r="O22" i="9"/>
  <c r="P22" i="9"/>
  <c r="Q22" i="9"/>
  <c r="R22" i="9"/>
  <c r="S22" i="9"/>
  <c r="T22" i="9"/>
  <c r="U22" i="9"/>
  <c r="V22" i="9"/>
  <c r="W22" i="9"/>
  <c r="X22" i="9"/>
  <c r="Y22" i="9"/>
  <c r="Z22" i="9"/>
  <c r="AA22" i="9"/>
  <c r="AB22" i="9"/>
  <c r="AC22" i="9"/>
  <c r="AD22" i="9"/>
  <c r="AE22" i="9"/>
  <c r="AF22" i="9"/>
  <c r="AG22" i="9"/>
  <c r="AH22" i="9"/>
  <c r="AI22" i="9"/>
  <c r="AJ22" i="9"/>
  <c r="AK22" i="9"/>
  <c r="AL22" i="9"/>
  <c r="AM22" i="9"/>
  <c r="AN22" i="9"/>
  <c r="AO22" i="9"/>
  <c r="AP22" i="9"/>
  <c r="AQ22" i="9"/>
  <c r="AR22" i="9"/>
  <c r="AS22" i="9"/>
  <c r="AT22" i="9"/>
  <c r="AU22" i="9"/>
  <c r="C22" i="9"/>
  <c r="C13" i="9"/>
  <c r="C15" i="9" s="1"/>
  <c r="C18" i="9" s="1"/>
  <c r="D13" i="9"/>
  <c r="D15" i="9" s="1"/>
  <c r="D18" i="9" s="1"/>
  <c r="E13" i="9"/>
  <c r="E35" i="9" s="1"/>
  <c r="F13" i="9"/>
  <c r="F15" i="9" s="1"/>
  <c r="F18" i="9" s="1"/>
  <c r="G13" i="9"/>
  <c r="G15" i="9" s="1"/>
  <c r="G18" i="9" s="1"/>
  <c r="H13" i="9"/>
  <c r="H15" i="9" s="1"/>
  <c r="H18" i="9" s="1"/>
  <c r="I13" i="9"/>
  <c r="I15" i="9" s="1"/>
  <c r="I18" i="9" s="1"/>
  <c r="J13" i="9"/>
  <c r="J15" i="9" s="1"/>
  <c r="J18" i="9" s="1"/>
  <c r="K13" i="9"/>
  <c r="K15" i="9" s="1"/>
  <c r="K18" i="9" s="1"/>
  <c r="L13" i="9"/>
  <c r="L15" i="9" s="1"/>
  <c r="L18" i="9" s="1"/>
  <c r="M13" i="9"/>
  <c r="M35" i="9" s="1"/>
  <c r="N13" i="9"/>
  <c r="O13" i="9"/>
  <c r="O15" i="9" s="1"/>
  <c r="O18" i="9" s="1"/>
  <c r="P13" i="9"/>
  <c r="P15" i="9" s="1"/>
  <c r="P18" i="9" s="1"/>
  <c r="Q13" i="9"/>
  <c r="Q15" i="9" s="1"/>
  <c r="Q18" i="9" s="1"/>
  <c r="R13" i="9"/>
  <c r="R15" i="9" s="1"/>
  <c r="R18" i="9" s="1"/>
  <c r="S13" i="9"/>
  <c r="S15" i="9" s="1"/>
  <c r="S18" i="9" s="1"/>
  <c r="T13" i="9"/>
  <c r="T15" i="9" s="1"/>
  <c r="T18" i="9" s="1"/>
  <c r="U13" i="9"/>
  <c r="U15" i="9" s="1"/>
  <c r="U18" i="9" s="1"/>
  <c r="U40" i="9" s="1"/>
  <c r="V13" i="9"/>
  <c r="V15" i="9" s="1"/>
  <c r="V18" i="9" s="1"/>
  <c r="W13" i="9"/>
  <c r="W15" i="9" s="1"/>
  <c r="W18" i="9" s="1"/>
  <c r="X13" i="9"/>
  <c r="X15" i="9" s="1"/>
  <c r="X18" i="9" s="1"/>
  <c r="Y13" i="9"/>
  <c r="Y15" i="9" s="1"/>
  <c r="Y18" i="9" s="1"/>
  <c r="Z13" i="9"/>
  <c r="AA13" i="9"/>
  <c r="AA15" i="9" s="1"/>
  <c r="AA18" i="9" s="1"/>
  <c r="AB13" i="9"/>
  <c r="AB15" i="9" s="1"/>
  <c r="AB18" i="9" s="1"/>
  <c r="AC13" i="9"/>
  <c r="AC15" i="9" s="1"/>
  <c r="AC18" i="9" s="1"/>
  <c r="AD13" i="9"/>
  <c r="AD15" i="9" s="1"/>
  <c r="AD18" i="9" s="1"/>
  <c r="AE13" i="9"/>
  <c r="AE15" i="9" s="1"/>
  <c r="AE18" i="9" s="1"/>
  <c r="AF13" i="9"/>
  <c r="AF15" i="9" s="1"/>
  <c r="AF18" i="9" s="1"/>
  <c r="AG13" i="9"/>
  <c r="AG15" i="9" s="1"/>
  <c r="AG18" i="9" s="1"/>
  <c r="AH13" i="9"/>
  <c r="AH15" i="9" s="1"/>
  <c r="AH18" i="9" s="1"/>
  <c r="AI13" i="9"/>
  <c r="AI15" i="9" s="1"/>
  <c r="AI18" i="9" s="1"/>
  <c r="AJ13" i="9"/>
  <c r="AJ15" i="9" s="1"/>
  <c r="AJ18" i="9" s="1"/>
  <c r="AK13" i="9"/>
  <c r="AK15" i="9" s="1"/>
  <c r="AK18" i="9" s="1"/>
  <c r="AL13" i="9"/>
  <c r="AL15" i="9" s="1"/>
  <c r="AL18" i="9" s="1"/>
  <c r="AM13" i="9"/>
  <c r="AM15" i="9" s="1"/>
  <c r="AM18" i="9" s="1"/>
  <c r="AN13" i="9"/>
  <c r="AN15" i="9" s="1"/>
  <c r="AN18" i="9" s="1"/>
  <c r="AO13" i="9"/>
  <c r="AO15" i="9" s="1"/>
  <c r="AO18" i="9" s="1"/>
  <c r="AP13" i="9"/>
  <c r="AP15" i="9" s="1"/>
  <c r="AP18" i="9" s="1"/>
  <c r="AQ13" i="9"/>
  <c r="AQ15" i="9" s="1"/>
  <c r="AQ18" i="9" s="1"/>
  <c r="AR13" i="9"/>
  <c r="AR15" i="9" s="1"/>
  <c r="AR18" i="9" s="1"/>
  <c r="AS13" i="9"/>
  <c r="AS15" i="9" s="1"/>
  <c r="AS18" i="9" s="1"/>
  <c r="AT13" i="9"/>
  <c r="AT15" i="9" s="1"/>
  <c r="AT18" i="9" s="1"/>
  <c r="AU13" i="9"/>
  <c r="AU15" i="9" s="1"/>
  <c r="AU18" i="9" s="1"/>
  <c r="AV13" i="9"/>
  <c r="AV15" i="9" s="1"/>
  <c r="AV18" i="9" s="1"/>
  <c r="B13" i="9"/>
  <c r="B15" i="9" s="1"/>
  <c r="B18" i="9" s="1"/>
  <c r="D81" i="1" l="1"/>
  <c r="C81" i="1"/>
  <c r="N81" i="1"/>
  <c r="L81" i="1"/>
  <c r="E81" i="1"/>
  <c r="P81" i="1"/>
  <c r="F81" i="1"/>
  <c r="Q81" i="1"/>
  <c r="O81" i="1"/>
  <c r="J81" i="1"/>
  <c r="I81" i="1"/>
  <c r="G81" i="1"/>
  <c r="R81" i="1"/>
  <c r="M81" i="1"/>
  <c r="B75" i="1"/>
  <c r="B81" i="1"/>
  <c r="F27" i="1"/>
  <c r="F74" i="1"/>
  <c r="F76" i="1"/>
  <c r="F73" i="1"/>
  <c r="F75" i="1"/>
  <c r="N27" i="1"/>
  <c r="N74" i="1"/>
  <c r="N75" i="1"/>
  <c r="N76" i="1"/>
  <c r="N73" i="1"/>
  <c r="K27" i="1"/>
  <c r="K73" i="1"/>
  <c r="K75" i="1"/>
  <c r="K76" i="1"/>
  <c r="K74" i="1"/>
  <c r="Q27" i="1"/>
  <c r="Q75" i="1"/>
  <c r="Q74" i="1"/>
  <c r="Q76" i="1"/>
  <c r="Q73" i="1"/>
  <c r="R27" i="1"/>
  <c r="R75" i="1"/>
  <c r="R76" i="1"/>
  <c r="R73" i="1"/>
  <c r="R74" i="1"/>
  <c r="D27" i="1"/>
  <c r="D76" i="1"/>
  <c r="D73" i="1"/>
  <c r="D75" i="1"/>
  <c r="D74" i="1"/>
  <c r="J27" i="1"/>
  <c r="J73" i="1"/>
  <c r="J75" i="1"/>
  <c r="J76" i="1"/>
  <c r="J74" i="1"/>
  <c r="U27" i="1"/>
  <c r="U75" i="1"/>
  <c r="U76" i="1"/>
  <c r="U73" i="1"/>
  <c r="U74" i="1"/>
  <c r="C27" i="1"/>
  <c r="C73" i="1"/>
  <c r="C75" i="1"/>
  <c r="C76" i="1"/>
  <c r="C74" i="1"/>
  <c r="G27" i="1"/>
  <c r="G76" i="1"/>
  <c r="G74" i="1"/>
  <c r="G75" i="1"/>
  <c r="G73" i="1"/>
  <c r="V27" i="1"/>
  <c r="V74" i="1"/>
  <c r="V76" i="1"/>
  <c r="V73" i="1"/>
  <c r="V75" i="1"/>
  <c r="S27" i="1"/>
  <c r="S73" i="1"/>
  <c r="S75" i="1"/>
  <c r="S74" i="1"/>
  <c r="S76" i="1"/>
  <c r="W27" i="1"/>
  <c r="W75" i="1"/>
  <c r="W74" i="1"/>
  <c r="W76" i="1"/>
  <c r="W73" i="1"/>
  <c r="I27" i="1"/>
  <c r="I75" i="1"/>
  <c r="I74" i="1"/>
  <c r="I73" i="1"/>
  <c r="I76" i="1"/>
  <c r="E27" i="1"/>
  <c r="E73" i="1"/>
  <c r="E76" i="1"/>
  <c r="E75" i="1"/>
  <c r="E74" i="1"/>
  <c r="B76" i="1"/>
  <c r="B74" i="1"/>
  <c r="P27" i="1"/>
  <c r="P73" i="1"/>
  <c r="P74" i="1"/>
  <c r="P76" i="1"/>
  <c r="P75" i="1"/>
  <c r="O27" i="1"/>
  <c r="O74" i="1"/>
  <c r="O76" i="1"/>
  <c r="O73" i="1"/>
  <c r="O75" i="1"/>
  <c r="M27" i="1"/>
  <c r="M76" i="1"/>
  <c r="M73" i="1"/>
  <c r="M74" i="1"/>
  <c r="M75" i="1"/>
  <c r="L27" i="1"/>
  <c r="L76" i="1"/>
  <c r="L75" i="1"/>
  <c r="L73" i="1"/>
  <c r="L74" i="1"/>
  <c r="T27" i="1"/>
  <c r="T76" i="1"/>
  <c r="T73" i="1"/>
  <c r="T75" i="1"/>
  <c r="T74" i="1"/>
  <c r="H27" i="1"/>
  <c r="H76" i="1"/>
  <c r="H73" i="1"/>
  <c r="H74" i="1"/>
  <c r="H75" i="1"/>
  <c r="B27" i="1"/>
  <c r="B48" i="1" s="1"/>
  <c r="B73" i="1"/>
  <c r="B56" i="1"/>
  <c r="AN29" i="9"/>
  <c r="AO29" i="9"/>
  <c r="AG29" i="9"/>
  <c r="Q29" i="9"/>
  <c r="I29" i="9"/>
  <c r="X29" i="9"/>
  <c r="H29" i="9"/>
  <c r="AM29" i="9"/>
  <c r="AE29" i="9"/>
  <c r="W29" i="9"/>
  <c r="O29" i="9"/>
  <c r="G29" i="9"/>
  <c r="U35" i="9"/>
  <c r="Z24" i="9"/>
  <c r="E15" i="9"/>
  <c r="E18" i="9" s="1"/>
  <c r="E29" i="9" s="1"/>
  <c r="AC35" i="9"/>
  <c r="AU29" i="9"/>
  <c r="AD40" i="9"/>
  <c r="M24" i="9"/>
  <c r="F40" i="9"/>
  <c r="AC29" i="9"/>
  <c r="AP29" i="9"/>
  <c r="AH29" i="9"/>
  <c r="AA40" i="9"/>
  <c r="S40" i="9"/>
  <c r="J29" i="9"/>
  <c r="AU24" i="9"/>
  <c r="AE24" i="9"/>
  <c r="O24" i="9"/>
  <c r="AD35" i="9"/>
  <c r="G35" i="9"/>
  <c r="Y37" i="9"/>
  <c r="AM24" i="9"/>
  <c r="AL29" i="9"/>
  <c r="AS29" i="9"/>
  <c r="O40" i="9"/>
  <c r="G24" i="9"/>
  <c r="Z35" i="9"/>
  <c r="AP24" i="9"/>
  <c r="J24" i="9"/>
  <c r="S37" i="9"/>
  <c r="Q40" i="9"/>
  <c r="N15" i="9"/>
  <c r="N18" i="9" s="1"/>
  <c r="N29" i="9" s="1"/>
  <c r="Y24" i="9"/>
  <c r="W24" i="9"/>
  <c r="K37" i="9"/>
  <c r="F35" i="9"/>
  <c r="AG40" i="9"/>
  <c r="AO24" i="9"/>
  <c r="I24" i="9"/>
  <c r="W35" i="9"/>
  <c r="R37" i="9"/>
  <c r="AF40" i="9"/>
  <c r="X40" i="9"/>
  <c r="P40" i="9"/>
  <c r="H40" i="9"/>
  <c r="M15" i="9"/>
  <c r="M18" i="9" s="1"/>
  <c r="L29" i="9" s="1"/>
  <c r="AN24" i="9"/>
  <c r="X24" i="9"/>
  <c r="H24" i="9"/>
  <c r="V35" i="9"/>
  <c r="Q37" i="9"/>
  <c r="AE40" i="9"/>
  <c r="G40" i="9"/>
  <c r="AT29" i="9"/>
  <c r="C40" i="9"/>
  <c r="R24" i="9"/>
  <c r="AI37" i="9"/>
  <c r="J37" i="9"/>
  <c r="AC40" i="9"/>
  <c r="W40" i="9"/>
  <c r="AD29" i="9"/>
  <c r="V29" i="9"/>
  <c r="F29" i="9"/>
  <c r="AH24" i="9"/>
  <c r="O35" i="9"/>
  <c r="AK29" i="9"/>
  <c r="U29" i="9"/>
  <c r="AG24" i="9"/>
  <c r="Q24" i="9"/>
  <c r="C35" i="9"/>
  <c r="N35" i="9"/>
  <c r="AH37" i="9"/>
  <c r="I37" i="9"/>
  <c r="AR29" i="9"/>
  <c r="AJ29" i="9"/>
  <c r="AB29" i="9"/>
  <c r="T29" i="9"/>
  <c r="AF24" i="9"/>
  <c r="P24" i="9"/>
  <c r="AE35" i="9"/>
  <c r="AA37" i="9"/>
  <c r="V40" i="9"/>
  <c r="AB26" i="9"/>
  <c r="AA29" i="9"/>
  <c r="AQ26" i="9"/>
  <c r="R29" i="9"/>
  <c r="AH26" i="9"/>
  <c r="AG37" i="9"/>
  <c r="Z15" i="9"/>
  <c r="AG26" i="9"/>
  <c r="AB40" i="9"/>
  <c r="T40" i="9"/>
  <c r="L40" i="9"/>
  <c r="AT24" i="9"/>
  <c r="AL24" i="9"/>
  <c r="AD24" i="9"/>
  <c r="V24" i="9"/>
  <c r="N24" i="9"/>
  <c r="F24" i="9"/>
  <c r="C26" i="9"/>
  <c r="AN26" i="9"/>
  <c r="AF26" i="9"/>
  <c r="X26" i="9"/>
  <c r="P26" i="9"/>
  <c r="H26" i="9"/>
  <c r="AI35" i="9"/>
  <c r="AA35" i="9"/>
  <c r="S35" i="9"/>
  <c r="K35" i="9"/>
  <c r="AE37" i="9"/>
  <c r="W37" i="9"/>
  <c r="O37" i="9"/>
  <c r="G37" i="9"/>
  <c r="AI40" i="9"/>
  <c r="K40" i="9"/>
  <c r="AJ40" i="9"/>
  <c r="T26" i="9"/>
  <c r="AI29" i="9"/>
  <c r="K29" i="9"/>
  <c r="S26" i="9"/>
  <c r="C24" i="9"/>
  <c r="AO26" i="9"/>
  <c r="I26" i="9"/>
  <c r="AF29" i="9"/>
  <c r="P29" i="9"/>
  <c r="AJ35" i="9"/>
  <c r="T35" i="9"/>
  <c r="AF37" i="9"/>
  <c r="P37" i="9"/>
  <c r="H37" i="9"/>
  <c r="D40" i="9"/>
  <c r="AS24" i="9"/>
  <c r="AK24" i="9"/>
  <c r="AC24" i="9"/>
  <c r="U24" i="9"/>
  <c r="E24" i="9"/>
  <c r="AU26" i="9"/>
  <c r="AM26" i="9"/>
  <c r="AE26" i="9"/>
  <c r="W26" i="9"/>
  <c r="O26" i="9"/>
  <c r="G26" i="9"/>
  <c r="AH35" i="9"/>
  <c r="R35" i="9"/>
  <c r="J35" i="9"/>
  <c r="AD37" i="9"/>
  <c r="V37" i="9"/>
  <c r="F37" i="9"/>
  <c r="AH40" i="9"/>
  <c r="R40" i="9"/>
  <c r="J40" i="9"/>
  <c r="AR26" i="9"/>
  <c r="AQ29" i="9"/>
  <c r="S29" i="9"/>
  <c r="AI26" i="9"/>
  <c r="K26" i="9"/>
  <c r="J26" i="9"/>
  <c r="Q26" i="9"/>
  <c r="X37" i="9"/>
  <c r="AJ24" i="9"/>
  <c r="AB24" i="9"/>
  <c r="T24" i="9"/>
  <c r="D24" i="9"/>
  <c r="AT26" i="9"/>
  <c r="AL26" i="9"/>
  <c r="AD26" i="9"/>
  <c r="V26" i="9"/>
  <c r="F26" i="9"/>
  <c r="AG35" i="9"/>
  <c r="Y35" i="9"/>
  <c r="Q35" i="9"/>
  <c r="I35" i="9"/>
  <c r="C37" i="9"/>
  <c r="AC37" i="9"/>
  <c r="U37" i="9"/>
  <c r="Y40" i="9"/>
  <c r="I40" i="9"/>
  <c r="AJ26" i="9"/>
  <c r="AA26" i="9"/>
  <c r="AP26" i="9"/>
  <c r="R26" i="9"/>
  <c r="C29" i="9"/>
  <c r="AB35" i="9"/>
  <c r="L35" i="9"/>
  <c r="D35" i="9"/>
  <c r="AR24" i="9"/>
  <c r="L24" i="9"/>
  <c r="AQ24" i="9"/>
  <c r="AI24" i="9"/>
  <c r="AA24" i="9"/>
  <c r="S24" i="9"/>
  <c r="K24" i="9"/>
  <c r="AS26" i="9"/>
  <c r="AK26" i="9"/>
  <c r="AC26" i="9"/>
  <c r="U26" i="9"/>
  <c r="AF35" i="9"/>
  <c r="X35" i="9"/>
  <c r="P35" i="9"/>
  <c r="H35" i="9"/>
  <c r="AJ37" i="9"/>
  <c r="AB37" i="9"/>
  <c r="T37" i="9"/>
  <c r="L37" i="9"/>
  <c r="D37" i="9"/>
  <c r="D46" i="2"/>
  <c r="T77" i="1" l="1"/>
  <c r="Q77" i="1"/>
  <c r="C77" i="1"/>
  <c r="P77" i="1"/>
  <c r="V77" i="1"/>
  <c r="K77" i="1"/>
  <c r="H90" i="1"/>
  <c r="H87" i="1"/>
  <c r="H89" i="1"/>
  <c r="H88" i="1"/>
  <c r="H86" i="1"/>
  <c r="N90" i="1"/>
  <c r="N87" i="1"/>
  <c r="N89" i="1"/>
  <c r="N88" i="1"/>
  <c r="N86" i="1"/>
  <c r="N91" i="1"/>
  <c r="E87" i="1"/>
  <c r="E89" i="1"/>
  <c r="E90" i="1"/>
  <c r="E91" i="1"/>
  <c r="E88" i="1"/>
  <c r="E86" i="1"/>
  <c r="J90" i="1"/>
  <c r="J89" i="1"/>
  <c r="J87" i="1"/>
  <c r="J91" i="1"/>
  <c r="J88" i="1"/>
  <c r="J86" i="1"/>
  <c r="P90" i="1"/>
  <c r="P87" i="1"/>
  <c r="P89" i="1"/>
  <c r="P86" i="1"/>
  <c r="P91" i="1"/>
  <c r="P88" i="1"/>
  <c r="G90" i="1"/>
  <c r="G87" i="1"/>
  <c r="G89" i="1"/>
  <c r="G88" i="1"/>
  <c r="G91" i="1"/>
  <c r="G86" i="1"/>
  <c r="B77" i="1"/>
  <c r="L89" i="1"/>
  <c r="L90" i="1"/>
  <c r="L87" i="1"/>
  <c r="L88" i="1"/>
  <c r="L91" i="1"/>
  <c r="L86" i="1"/>
  <c r="W90" i="1"/>
  <c r="W87" i="1"/>
  <c r="W89" i="1"/>
  <c r="W88" i="1"/>
  <c r="W86" i="1"/>
  <c r="R89" i="1"/>
  <c r="R90" i="1"/>
  <c r="R87" i="1"/>
  <c r="R91" i="1"/>
  <c r="R88" i="1"/>
  <c r="R86" i="1"/>
  <c r="B90" i="1"/>
  <c r="B89" i="1"/>
  <c r="B87" i="1"/>
  <c r="B88" i="1"/>
  <c r="B91" i="1"/>
  <c r="B86" i="1"/>
  <c r="U87" i="1"/>
  <c r="U90" i="1"/>
  <c r="U89" i="1"/>
  <c r="U86" i="1"/>
  <c r="U88" i="1"/>
  <c r="O90" i="1"/>
  <c r="O87" i="1"/>
  <c r="O89" i="1"/>
  <c r="O88" i="1"/>
  <c r="O86" i="1"/>
  <c r="O91" i="1"/>
  <c r="V90" i="1"/>
  <c r="V87" i="1"/>
  <c r="V89" i="1"/>
  <c r="V88" i="1"/>
  <c r="V86" i="1"/>
  <c r="K89" i="1"/>
  <c r="K87" i="1"/>
  <c r="K90" i="1"/>
  <c r="K86" i="1"/>
  <c r="K88" i="1"/>
  <c r="T89" i="1"/>
  <c r="T90" i="1"/>
  <c r="T87" i="1"/>
  <c r="T88" i="1"/>
  <c r="T86" i="1"/>
  <c r="I89" i="1"/>
  <c r="I90" i="1"/>
  <c r="I87" i="1"/>
  <c r="I88" i="1"/>
  <c r="I91" i="1"/>
  <c r="I86" i="1"/>
  <c r="D90" i="1"/>
  <c r="D89" i="1"/>
  <c r="D87" i="1"/>
  <c r="D91" i="1"/>
  <c r="D88" i="1"/>
  <c r="D86" i="1"/>
  <c r="C89" i="1"/>
  <c r="C87" i="1"/>
  <c r="C90" i="1"/>
  <c r="C91" i="1"/>
  <c r="C86" i="1"/>
  <c r="C88" i="1"/>
  <c r="F90" i="1"/>
  <c r="F87" i="1"/>
  <c r="F89" i="1"/>
  <c r="F91" i="1"/>
  <c r="F88" i="1"/>
  <c r="F86" i="1"/>
  <c r="M87" i="1"/>
  <c r="M89" i="1"/>
  <c r="M90" i="1"/>
  <c r="M91" i="1"/>
  <c r="M88" i="1"/>
  <c r="M86" i="1"/>
  <c r="S89" i="1"/>
  <c r="S87" i="1"/>
  <c r="S90" i="1"/>
  <c r="S86" i="1"/>
  <c r="S88" i="1"/>
  <c r="U77" i="1"/>
  <c r="J77" i="1"/>
  <c r="R77" i="1"/>
  <c r="Q90" i="1"/>
  <c r="Q89" i="1"/>
  <c r="Q87" i="1"/>
  <c r="Q91" i="1"/>
  <c r="Q86" i="1"/>
  <c r="Q88" i="1"/>
  <c r="O77" i="1"/>
  <c r="M77" i="1"/>
  <c r="F77" i="1"/>
  <c r="E77" i="1"/>
  <c r="S77" i="1"/>
  <c r="H77" i="1"/>
  <c r="L77" i="1"/>
  <c r="G77" i="1"/>
  <c r="N77" i="1"/>
  <c r="I77" i="1"/>
  <c r="D77" i="1"/>
  <c r="W77" i="1"/>
  <c r="E37" i="9"/>
  <c r="E40" i="9"/>
  <c r="E26" i="9"/>
  <c r="D29" i="9"/>
  <c r="D26" i="9"/>
  <c r="M37" i="9"/>
  <c r="L26" i="9"/>
  <c r="M29" i="9"/>
  <c r="M40" i="9"/>
  <c r="M26" i="9"/>
  <c r="N26" i="9"/>
  <c r="Z18" i="9"/>
  <c r="Z26" i="9"/>
  <c r="Z37" i="9"/>
  <c r="N37" i="9"/>
  <c r="Y26" i="9"/>
  <c r="C45" i="3"/>
  <c r="C43" i="3"/>
  <c r="C42" i="3"/>
  <c r="C41" i="3"/>
  <c r="C40" i="3"/>
  <c r="C38" i="3"/>
  <c r="C37" i="3"/>
  <c r="D86" i="2" s="1"/>
  <c r="C36" i="3"/>
  <c r="D85" i="2" s="1"/>
  <c r="C34" i="3"/>
  <c r="C33" i="3"/>
  <c r="D45" i="3"/>
  <c r="D43" i="3"/>
  <c r="D42" i="3"/>
  <c r="D41" i="3"/>
  <c r="D40" i="3"/>
  <c r="D38" i="3"/>
  <c r="D37" i="3"/>
  <c r="E86" i="2" s="1"/>
  <c r="D36" i="3"/>
  <c r="E85" i="2" s="1"/>
  <c r="D34" i="3"/>
  <c r="D33" i="3"/>
  <c r="E45" i="3"/>
  <c r="E43" i="3"/>
  <c r="E42" i="3"/>
  <c r="E41" i="3"/>
  <c r="E40" i="3"/>
  <c r="E38" i="3"/>
  <c r="E37" i="3"/>
  <c r="F86" i="2" s="1"/>
  <c r="E36" i="3"/>
  <c r="F85" i="2" s="1"/>
  <c r="E34" i="3"/>
  <c r="E33" i="3"/>
  <c r="F45" i="3"/>
  <c r="F43" i="3"/>
  <c r="F42" i="3"/>
  <c r="F41" i="3"/>
  <c r="F40" i="3"/>
  <c r="F38" i="3"/>
  <c r="F37" i="3"/>
  <c r="G86" i="2" s="1"/>
  <c r="F36" i="3"/>
  <c r="G85" i="2" s="1"/>
  <c r="F34" i="3"/>
  <c r="F33" i="3"/>
  <c r="G45" i="3"/>
  <c r="G43" i="3"/>
  <c r="G42" i="3"/>
  <c r="G41" i="3"/>
  <c r="G40" i="3"/>
  <c r="G38" i="3"/>
  <c r="G37" i="3"/>
  <c r="H86" i="2" s="1"/>
  <c r="G36" i="3"/>
  <c r="H85" i="2" s="1"/>
  <c r="G34" i="3"/>
  <c r="G33" i="3"/>
  <c r="H45" i="3"/>
  <c r="H43" i="3"/>
  <c r="H42" i="3"/>
  <c r="H41" i="3"/>
  <c r="H40" i="3"/>
  <c r="H38" i="3"/>
  <c r="H37" i="3"/>
  <c r="I86" i="2" s="1"/>
  <c r="H36" i="3"/>
  <c r="I85" i="2" s="1"/>
  <c r="H34" i="3"/>
  <c r="H33" i="3"/>
  <c r="I33" i="3"/>
  <c r="D35" i="3"/>
  <c r="C25" i="3"/>
  <c r="C27" i="3"/>
  <c r="C28" i="3"/>
  <c r="D25" i="3"/>
  <c r="D27" i="3"/>
  <c r="D28" i="3"/>
  <c r="D24" i="3"/>
  <c r="E25" i="3"/>
  <c r="E27" i="3"/>
  <c r="E28" i="3"/>
  <c r="E24" i="3"/>
  <c r="F25" i="3"/>
  <c r="F27" i="3"/>
  <c r="F28" i="3"/>
  <c r="F24" i="3"/>
  <c r="G25" i="3"/>
  <c r="G27" i="3"/>
  <c r="G28" i="3"/>
  <c r="H25" i="3"/>
  <c r="H27" i="3"/>
  <c r="H28" i="3"/>
  <c r="H24" i="3"/>
  <c r="E8" i="3"/>
  <c r="E12" i="3" s="1"/>
  <c r="E19" i="3" s="1"/>
  <c r="D8" i="3"/>
  <c r="D12" i="3" s="1"/>
  <c r="D19" i="3" s="1"/>
  <c r="G8" i="3"/>
  <c r="G12" i="3" s="1"/>
  <c r="G19" i="3" s="1"/>
  <c r="F8" i="3"/>
  <c r="F12" i="3" s="1"/>
  <c r="F19" i="3" s="1"/>
  <c r="I8" i="3"/>
  <c r="I12" i="3" s="1"/>
  <c r="I19" i="3" s="1"/>
  <c r="H8" i="3"/>
  <c r="H12" i="3" s="1"/>
  <c r="H19" i="3" s="1"/>
  <c r="K8" i="3"/>
  <c r="K12" i="3" s="1"/>
  <c r="K19" i="3" s="1"/>
  <c r="J8" i="3"/>
  <c r="J12" i="3" s="1"/>
  <c r="J19" i="3" s="1"/>
  <c r="M8" i="3"/>
  <c r="M12" i="3" s="1"/>
  <c r="L8" i="3"/>
  <c r="L12" i="3" s="1"/>
  <c r="L19" i="3" s="1"/>
  <c r="O8" i="3"/>
  <c r="O12" i="3" s="1"/>
  <c r="O19" i="3" s="1"/>
  <c r="N8" i="3"/>
  <c r="N12" i="3" s="1"/>
  <c r="N19" i="3" s="1"/>
  <c r="G35" i="3" l="1"/>
  <c r="H84" i="2" s="1"/>
  <c r="D21" i="3"/>
  <c r="M19" i="3"/>
  <c r="G29" i="3"/>
  <c r="D39" i="3"/>
  <c r="D46" i="3" s="1"/>
  <c r="E84" i="2"/>
  <c r="F35" i="3"/>
  <c r="G84" i="2" s="1"/>
  <c r="N21" i="3"/>
  <c r="N40" i="9"/>
  <c r="Z29" i="9"/>
  <c r="Z40" i="9"/>
  <c r="Y29" i="9"/>
  <c r="H35" i="3"/>
  <c r="G39" i="3"/>
  <c r="G46" i="3" s="1"/>
  <c r="F39" i="3"/>
  <c r="F46" i="3" s="1"/>
  <c r="E35" i="3"/>
  <c r="C35" i="3"/>
  <c r="H29" i="3"/>
  <c r="D29" i="3"/>
  <c r="E26" i="3"/>
  <c r="L21" i="3"/>
  <c r="C26" i="3"/>
  <c r="G26" i="3"/>
  <c r="E29" i="3"/>
  <c r="J21" i="3"/>
  <c r="H21" i="3"/>
  <c r="H26" i="3"/>
  <c r="F29" i="3"/>
  <c r="F21" i="3"/>
  <c r="F26" i="3"/>
  <c r="D26" i="3"/>
  <c r="C39" i="3" l="1"/>
  <c r="C46" i="3" s="1"/>
  <c r="D84" i="2"/>
  <c r="E39" i="3"/>
  <c r="E46" i="3" s="1"/>
  <c r="F84" i="2"/>
  <c r="H39" i="3"/>
  <c r="H46" i="3" s="1"/>
  <c r="I84" i="2"/>
  <c r="N47" i="2"/>
  <c r="F47" i="2"/>
  <c r="G47" i="2"/>
  <c r="H47" i="2"/>
  <c r="I47" i="2"/>
  <c r="J47" i="2"/>
  <c r="K47" i="2"/>
  <c r="L47" i="2"/>
  <c r="M47" i="2"/>
  <c r="O47" i="2"/>
  <c r="P47" i="2"/>
  <c r="Q47" i="2"/>
  <c r="R47" i="2"/>
  <c r="S47" i="2"/>
  <c r="T47" i="2"/>
  <c r="U47" i="2"/>
  <c r="V47" i="2"/>
  <c r="W47" i="2"/>
  <c r="X47" i="2"/>
  <c r="C49" i="1"/>
  <c r="B50" i="1" s="1"/>
  <c r="D49" i="1"/>
  <c r="D54" i="1" s="1"/>
  <c r="E49" i="1"/>
  <c r="F49" i="1"/>
  <c r="F52" i="1" s="1"/>
  <c r="G49" i="1"/>
  <c r="G52" i="1" s="1"/>
  <c r="C37" i="1"/>
  <c r="C47" i="1" s="1"/>
  <c r="D37" i="1"/>
  <c r="D47" i="1" s="1"/>
  <c r="E37" i="1"/>
  <c r="E47" i="1" s="1"/>
  <c r="F37" i="1"/>
  <c r="F47" i="1" s="1"/>
  <c r="G37" i="1"/>
  <c r="G47" i="1" s="1"/>
  <c r="E46" i="2"/>
  <c r="E48" i="2" s="1"/>
  <c r="D69" i="1" s="1"/>
  <c r="F46" i="2"/>
  <c r="G46" i="2"/>
  <c r="H49" i="1"/>
  <c r="H44" i="1"/>
  <c r="H46" i="1" s="1"/>
  <c r="H96" i="1" s="1"/>
  <c r="H99" i="1" s="1"/>
  <c r="H91" i="1" l="1"/>
  <c r="H79" i="1"/>
  <c r="H82" i="1"/>
  <c r="H81" i="1"/>
  <c r="H52" i="1"/>
  <c r="E52" i="1"/>
  <c r="F50" i="1"/>
  <c r="E50" i="1"/>
  <c r="F54" i="1"/>
  <c r="E54" i="1"/>
  <c r="C52" i="1"/>
  <c r="C54" i="1"/>
  <c r="G48" i="2"/>
  <c r="F69" i="1" s="1"/>
  <c r="F48" i="2"/>
  <c r="E69" i="1" s="1"/>
  <c r="D27" i="2"/>
  <c r="D48" i="2"/>
  <c r="C69" i="1" s="1"/>
  <c r="E27" i="2"/>
  <c r="F27" i="2"/>
  <c r="G27" i="2"/>
  <c r="D52" i="1"/>
  <c r="G50" i="1"/>
  <c r="F48" i="1"/>
  <c r="D48" i="1"/>
  <c r="D50" i="1"/>
  <c r="C50" i="1"/>
  <c r="G54" i="1"/>
  <c r="H46" i="2"/>
  <c r="I46" i="2"/>
  <c r="H54" i="1"/>
  <c r="H37" i="1"/>
  <c r="H47" i="1" s="1"/>
  <c r="G29" i="2" l="1"/>
  <c r="G31" i="2" s="1"/>
  <c r="G53" i="2"/>
  <c r="F29" i="2"/>
  <c r="F31" i="2" s="1"/>
  <c r="F53" i="2"/>
  <c r="D29" i="2"/>
  <c r="D31" i="2" s="1"/>
  <c r="D50" i="2" s="1"/>
  <c r="D53" i="2"/>
  <c r="E29" i="2"/>
  <c r="E31" i="2" s="1"/>
  <c r="E53" i="2"/>
  <c r="C56" i="1"/>
  <c r="E56" i="1"/>
  <c r="D56" i="1"/>
  <c r="F56" i="1"/>
  <c r="G56" i="1"/>
  <c r="H56" i="1"/>
  <c r="C48" i="1"/>
  <c r="E48" i="1"/>
  <c r="G48" i="1"/>
  <c r="I48" i="2"/>
  <c r="H69" i="1" s="1"/>
  <c r="H48" i="2"/>
  <c r="G69" i="1" s="1"/>
  <c r="H27" i="2"/>
  <c r="H29" i="2" s="1"/>
  <c r="H31" i="2" s="1"/>
  <c r="I27" i="2"/>
  <c r="I29" i="2" s="1"/>
  <c r="I31" i="2" s="1"/>
  <c r="I34" i="3"/>
  <c r="J34" i="3"/>
  <c r="K34" i="3"/>
  <c r="L34" i="3"/>
  <c r="M34" i="3"/>
  <c r="N34" i="3"/>
  <c r="O34" i="3"/>
  <c r="P34" i="3"/>
  <c r="Q34" i="3"/>
  <c r="R34" i="3"/>
  <c r="S34" i="3"/>
  <c r="I36" i="3"/>
  <c r="J85" i="2" s="1"/>
  <c r="J36" i="3"/>
  <c r="K85" i="2" s="1"/>
  <c r="K36" i="3"/>
  <c r="L85" i="2" s="1"/>
  <c r="L36" i="3"/>
  <c r="M85" i="2" s="1"/>
  <c r="M36" i="3"/>
  <c r="N85" i="2" s="1"/>
  <c r="N36" i="3"/>
  <c r="O85" i="2" s="1"/>
  <c r="O36" i="3"/>
  <c r="P85" i="2" s="1"/>
  <c r="P36" i="3"/>
  <c r="Q85" i="2" s="1"/>
  <c r="Q36" i="3"/>
  <c r="R85" i="2" s="1"/>
  <c r="R36" i="3"/>
  <c r="S85" i="2" s="1"/>
  <c r="S36" i="3"/>
  <c r="T85" i="2" s="1"/>
  <c r="I37" i="3"/>
  <c r="J37" i="3"/>
  <c r="K37" i="3"/>
  <c r="L37" i="3"/>
  <c r="M37" i="3"/>
  <c r="N37" i="3"/>
  <c r="O37" i="3"/>
  <c r="P37" i="3"/>
  <c r="Q37" i="3"/>
  <c r="R37" i="3"/>
  <c r="S37" i="3"/>
  <c r="I38" i="3"/>
  <c r="J38" i="3"/>
  <c r="K38" i="3"/>
  <c r="L38" i="3"/>
  <c r="M38" i="3"/>
  <c r="N38" i="3"/>
  <c r="O38" i="3"/>
  <c r="P38" i="3"/>
  <c r="Q38" i="3"/>
  <c r="R38" i="3"/>
  <c r="S38" i="3"/>
  <c r="I40" i="3"/>
  <c r="J40" i="3"/>
  <c r="K40" i="3"/>
  <c r="L40" i="3"/>
  <c r="N40" i="3"/>
  <c r="O40" i="3"/>
  <c r="P40" i="3"/>
  <c r="Q40" i="3"/>
  <c r="R40" i="3"/>
  <c r="S40" i="3"/>
  <c r="I41" i="3"/>
  <c r="J41" i="3"/>
  <c r="K41" i="3"/>
  <c r="L41" i="3"/>
  <c r="M41" i="3"/>
  <c r="N41" i="3"/>
  <c r="O41" i="3"/>
  <c r="P41" i="3"/>
  <c r="Q41" i="3"/>
  <c r="R41" i="3"/>
  <c r="S41" i="3"/>
  <c r="I42" i="3"/>
  <c r="J42" i="3"/>
  <c r="K42" i="3"/>
  <c r="L42" i="3"/>
  <c r="M42" i="3"/>
  <c r="N42" i="3"/>
  <c r="O42" i="3"/>
  <c r="P42" i="3"/>
  <c r="Q42" i="3"/>
  <c r="R42" i="3"/>
  <c r="S42" i="3"/>
  <c r="I43" i="3"/>
  <c r="J43" i="3"/>
  <c r="K43" i="3"/>
  <c r="L43" i="3"/>
  <c r="M43" i="3"/>
  <c r="N43" i="3"/>
  <c r="O43" i="3"/>
  <c r="P43" i="3"/>
  <c r="Q43" i="3"/>
  <c r="R43" i="3"/>
  <c r="S43" i="3"/>
  <c r="I45" i="3"/>
  <c r="J45" i="3"/>
  <c r="K45" i="3"/>
  <c r="L45" i="3"/>
  <c r="N45" i="3"/>
  <c r="O45" i="3"/>
  <c r="P45" i="3"/>
  <c r="Q45" i="3"/>
  <c r="R45" i="3"/>
  <c r="S45" i="3"/>
  <c r="S33" i="3"/>
  <c r="R33" i="3"/>
  <c r="Q33" i="3"/>
  <c r="P33" i="3"/>
  <c r="O33" i="3"/>
  <c r="N33" i="3"/>
  <c r="M33" i="3"/>
  <c r="L33" i="3"/>
  <c r="K33" i="3"/>
  <c r="J33" i="3"/>
  <c r="I49" i="5"/>
  <c r="I50" i="5" s="1"/>
  <c r="I60" i="5"/>
  <c r="J60" i="5"/>
  <c r="J50" i="5"/>
  <c r="I19" i="5"/>
  <c r="I15" i="5"/>
  <c r="J19" i="5"/>
  <c r="J15" i="5"/>
  <c r="I28" i="3"/>
  <c r="I27" i="3"/>
  <c r="I25" i="3"/>
  <c r="I24" i="3"/>
  <c r="J27" i="3"/>
  <c r="J25" i="3"/>
  <c r="J24" i="3"/>
  <c r="K24" i="3"/>
  <c r="K25" i="3"/>
  <c r="S8" i="3"/>
  <c r="S12" i="3" s="1"/>
  <c r="R8" i="3"/>
  <c r="R12" i="3" s="1"/>
  <c r="R19" i="3" s="1"/>
  <c r="J46" i="3" s="1"/>
  <c r="Q8" i="3"/>
  <c r="Q12" i="3" s="1"/>
  <c r="P8" i="3"/>
  <c r="P12" i="3" s="1"/>
  <c r="P19" i="3" s="1"/>
  <c r="J46" i="2"/>
  <c r="K46" i="2"/>
  <c r="J49" i="1"/>
  <c r="J52" i="1" s="1"/>
  <c r="I49" i="1"/>
  <c r="I37" i="1"/>
  <c r="I47" i="1" s="1"/>
  <c r="J37" i="1"/>
  <c r="J47" i="1" s="1"/>
  <c r="K60" i="5"/>
  <c r="K50" i="5"/>
  <c r="K19" i="5"/>
  <c r="K15" i="5"/>
  <c r="K27" i="3"/>
  <c r="U8" i="3"/>
  <c r="U12" i="3" s="1"/>
  <c r="U19" i="3" s="1"/>
  <c r="T8" i="3"/>
  <c r="T12" i="3" s="1"/>
  <c r="T19" i="3" s="1"/>
  <c r="K46" i="3" s="1"/>
  <c r="K49" i="1"/>
  <c r="K54" i="1" s="1"/>
  <c r="K41" i="1"/>
  <c r="K46" i="1" s="1"/>
  <c r="K96" i="1" s="1"/>
  <c r="K99" i="1" s="1"/>
  <c r="K33" i="1"/>
  <c r="K37" i="1" s="1"/>
  <c r="L46" i="2"/>
  <c r="L15" i="5"/>
  <c r="L19" i="5"/>
  <c r="L50" i="5"/>
  <c r="L60" i="5"/>
  <c r="L27" i="3"/>
  <c r="L25" i="3"/>
  <c r="L24" i="3"/>
  <c r="W8" i="3"/>
  <c r="W12" i="3" s="1"/>
  <c r="W19" i="3" s="1"/>
  <c r="V8" i="3"/>
  <c r="V12" i="3" s="1"/>
  <c r="V19" i="3" s="1"/>
  <c r="L46" i="3" s="1"/>
  <c r="M46" i="2"/>
  <c r="L49" i="1"/>
  <c r="N35" i="3" l="1"/>
  <c r="O84" i="2" s="1"/>
  <c r="Q35" i="3"/>
  <c r="R84" i="2" s="1"/>
  <c r="I39" i="2"/>
  <c r="I43" i="2" s="1"/>
  <c r="H39" i="2"/>
  <c r="H43" i="2" s="1"/>
  <c r="D39" i="2"/>
  <c r="D43" i="2" s="1"/>
  <c r="F39" i="2"/>
  <c r="F43" i="2" s="1"/>
  <c r="E39" i="2"/>
  <c r="E43" i="2" s="1"/>
  <c r="G39" i="2"/>
  <c r="G43" i="2" s="1"/>
  <c r="G50" i="2"/>
  <c r="F50" i="2"/>
  <c r="E50" i="2"/>
  <c r="K91" i="1"/>
  <c r="K79" i="1"/>
  <c r="K82" i="1"/>
  <c r="K81" i="1"/>
  <c r="K52" i="1"/>
  <c r="K47" i="1"/>
  <c r="K48" i="1" s="1"/>
  <c r="L54" i="1"/>
  <c r="L52" i="1"/>
  <c r="I54" i="1"/>
  <c r="I52" i="1"/>
  <c r="H48" i="1"/>
  <c r="S19" i="3"/>
  <c r="R21" i="3" s="1"/>
  <c r="J29" i="3"/>
  <c r="Q19" i="3"/>
  <c r="P21" i="3" s="1"/>
  <c r="I29" i="3"/>
  <c r="P35" i="3"/>
  <c r="V21" i="3"/>
  <c r="O35" i="3"/>
  <c r="J35" i="3"/>
  <c r="L35" i="3"/>
  <c r="M84" i="2" s="1"/>
  <c r="Q39" i="3"/>
  <c r="N39" i="3"/>
  <c r="K35" i="3"/>
  <c r="I35" i="3"/>
  <c r="S35" i="3"/>
  <c r="T21" i="3"/>
  <c r="M35" i="3"/>
  <c r="R35" i="3"/>
  <c r="H50" i="2"/>
  <c r="I50" i="2"/>
  <c r="H53" i="2"/>
  <c r="J26" i="3"/>
  <c r="K29" i="3"/>
  <c r="I26" i="3"/>
  <c r="K21" i="5"/>
  <c r="K28" i="5" s="1"/>
  <c r="I53" i="2"/>
  <c r="H50" i="1"/>
  <c r="J21" i="5"/>
  <c r="J38" i="5" s="1"/>
  <c r="I21" i="5"/>
  <c r="I37" i="5" s="1"/>
  <c r="L21" i="5"/>
  <c r="L31" i="5" s="1"/>
  <c r="I26" i="5"/>
  <c r="I28" i="5"/>
  <c r="I30" i="5"/>
  <c r="I33" i="5"/>
  <c r="K26" i="3"/>
  <c r="K27" i="2"/>
  <c r="K29" i="2" s="1"/>
  <c r="K48" i="2"/>
  <c r="J69" i="1" s="1"/>
  <c r="J48" i="2"/>
  <c r="I69" i="1" s="1"/>
  <c r="J27" i="2"/>
  <c r="J29" i="2" s="1"/>
  <c r="J31" i="2" s="1"/>
  <c r="J50" i="1"/>
  <c r="J54" i="1"/>
  <c r="I50" i="1"/>
  <c r="L29" i="3"/>
  <c r="L26" i="3"/>
  <c r="L48" i="2"/>
  <c r="K69" i="1" s="1"/>
  <c r="L27" i="2"/>
  <c r="L53" i="2" s="1"/>
  <c r="K50" i="1"/>
  <c r="L26" i="5"/>
  <c r="L33" i="5"/>
  <c r="L37" i="1"/>
  <c r="L47" i="1" s="1"/>
  <c r="N46" i="2"/>
  <c r="M49" i="1"/>
  <c r="M39" i="3" l="1"/>
  <c r="N84" i="2"/>
  <c r="J39" i="3"/>
  <c r="K84" i="2"/>
  <c r="S39" i="3"/>
  <c r="T84" i="2"/>
  <c r="O39" i="3"/>
  <c r="P84" i="2"/>
  <c r="I39" i="3"/>
  <c r="I46" i="3" s="1"/>
  <c r="J84" i="2"/>
  <c r="R39" i="3"/>
  <c r="S84" i="2"/>
  <c r="L39" i="3"/>
  <c r="P39" i="3"/>
  <c r="Q84" i="2"/>
  <c r="K39" i="3"/>
  <c r="L84" i="2"/>
  <c r="L37" i="5"/>
  <c r="L32" i="5"/>
  <c r="I34" i="5"/>
  <c r="L27" i="5"/>
  <c r="I32" i="5"/>
  <c r="K30" i="5"/>
  <c r="K38" i="5"/>
  <c r="I29" i="5"/>
  <c r="I27" i="5"/>
  <c r="K37" i="5"/>
  <c r="K26" i="5"/>
  <c r="K29" i="5"/>
  <c r="K40" i="5"/>
  <c r="K32" i="5"/>
  <c r="K34" i="5"/>
  <c r="L30" i="5"/>
  <c r="E51" i="2"/>
  <c r="D51" i="2"/>
  <c r="I51" i="2"/>
  <c r="H51" i="2"/>
  <c r="G51" i="2"/>
  <c r="J39" i="2"/>
  <c r="J43" i="2" s="1"/>
  <c r="F51" i="2"/>
  <c r="J50" i="2"/>
  <c r="M54" i="1"/>
  <c r="M55" i="1" s="1"/>
  <c r="M52" i="1"/>
  <c r="K31" i="2"/>
  <c r="K42" i="2"/>
  <c r="J40" i="5"/>
  <c r="J33" i="5"/>
  <c r="J28" i="5"/>
  <c r="K27" i="5"/>
  <c r="K31" i="5"/>
  <c r="L38" i="5"/>
  <c r="L39" i="5" s="1"/>
  <c r="L40" i="5"/>
  <c r="K53" i="2"/>
  <c r="I38" i="5"/>
  <c r="I39" i="5" s="1"/>
  <c r="I31" i="5"/>
  <c r="L34" i="5"/>
  <c r="J34" i="5"/>
  <c r="L28" i="5"/>
  <c r="L29" i="5"/>
  <c r="K33" i="5"/>
  <c r="I40" i="5"/>
  <c r="J29" i="5"/>
  <c r="I56" i="1"/>
  <c r="J32" i="5"/>
  <c r="J27" i="5"/>
  <c r="J37" i="5"/>
  <c r="J39" i="5" s="1"/>
  <c r="J30" i="5"/>
  <c r="J26" i="5"/>
  <c r="J31" i="5"/>
  <c r="J53" i="2"/>
  <c r="I48" i="1"/>
  <c r="J48" i="1"/>
  <c r="J56" i="1"/>
  <c r="L29" i="2"/>
  <c r="K56" i="1"/>
  <c r="L50" i="1"/>
  <c r="M48" i="2"/>
  <c r="L69" i="1" s="1"/>
  <c r="M27" i="2"/>
  <c r="M29" i="2" s="1"/>
  <c r="M31" i="2" s="1"/>
  <c r="N55" i="1"/>
  <c r="W49" i="1"/>
  <c r="V50" i="1" s="1"/>
  <c r="X46" i="2"/>
  <c r="W44" i="1"/>
  <c r="W46" i="1" s="1"/>
  <c r="W96" i="1" s="1"/>
  <c r="W99" i="1" s="1"/>
  <c r="W37" i="1"/>
  <c r="W19" i="5"/>
  <c r="W15" i="5"/>
  <c r="W60" i="5"/>
  <c r="S20" i="5"/>
  <c r="R20" i="5"/>
  <c r="N60" i="5"/>
  <c r="O60" i="5"/>
  <c r="P60" i="5"/>
  <c r="Q60" i="5"/>
  <c r="R60" i="5"/>
  <c r="S60" i="5"/>
  <c r="T60" i="5"/>
  <c r="U60" i="5"/>
  <c r="V60" i="5"/>
  <c r="M60" i="5"/>
  <c r="N50" i="5"/>
  <c r="O50" i="5"/>
  <c r="P50" i="5"/>
  <c r="Q50" i="5"/>
  <c r="M50" i="5"/>
  <c r="N15" i="5"/>
  <c r="O15" i="5"/>
  <c r="P15" i="5"/>
  <c r="Q15" i="5"/>
  <c r="R15" i="5"/>
  <c r="S15" i="5"/>
  <c r="T15" i="5"/>
  <c r="U15" i="5"/>
  <c r="V15" i="5"/>
  <c r="M15" i="5"/>
  <c r="T19" i="5"/>
  <c r="U19" i="5"/>
  <c r="V19" i="5"/>
  <c r="N19" i="5"/>
  <c r="O19" i="5"/>
  <c r="P19" i="5"/>
  <c r="Q19" i="5"/>
  <c r="R19" i="5"/>
  <c r="S19" i="5"/>
  <c r="M19" i="5"/>
  <c r="O46" i="2"/>
  <c r="P46" i="2"/>
  <c r="Q46" i="2"/>
  <c r="R46" i="2"/>
  <c r="S46" i="2"/>
  <c r="T46" i="2"/>
  <c r="U46" i="2"/>
  <c r="V46" i="2"/>
  <c r="W46" i="2"/>
  <c r="U21" i="5" l="1"/>
  <c r="U40" i="5" s="1"/>
  <c r="K39" i="5"/>
  <c r="K35" i="5"/>
  <c r="I35" i="5"/>
  <c r="I41" i="5" s="1"/>
  <c r="V21" i="5"/>
  <c r="V37" i="5" s="1"/>
  <c r="J35" i="5"/>
  <c r="J41" i="5" s="1"/>
  <c r="L35" i="5"/>
  <c r="L41" i="5" s="1"/>
  <c r="K39" i="2"/>
  <c r="K43" i="2" s="1"/>
  <c r="M39" i="2"/>
  <c r="M43" i="2" s="1"/>
  <c r="K50" i="2"/>
  <c r="W79" i="1"/>
  <c r="W91" i="1"/>
  <c r="W82" i="1"/>
  <c r="W81" i="1"/>
  <c r="W52" i="1"/>
  <c r="W47" i="1"/>
  <c r="M56" i="1"/>
  <c r="R21" i="5"/>
  <c r="R28" i="5" s="1"/>
  <c r="P21" i="5"/>
  <c r="P26" i="5" s="1"/>
  <c r="K41" i="5"/>
  <c r="M50" i="2"/>
  <c r="L42" i="2"/>
  <c r="L31" i="2"/>
  <c r="J51" i="2"/>
  <c r="L56" i="1"/>
  <c r="M53" i="2"/>
  <c r="L48" i="1"/>
  <c r="M42" i="2"/>
  <c r="W21" i="5"/>
  <c r="W27" i="5" s="1"/>
  <c r="X27" i="2"/>
  <c r="X29" i="2" s="1"/>
  <c r="X48" i="2"/>
  <c r="W69" i="1" s="1"/>
  <c r="M21" i="5"/>
  <c r="W50" i="1"/>
  <c r="W55" i="1"/>
  <c r="U28" i="5"/>
  <c r="U30" i="5"/>
  <c r="S21" i="5"/>
  <c r="S30" i="5" s="1"/>
  <c r="Q21" i="5"/>
  <c r="Q30" i="5" s="1"/>
  <c r="O21" i="5"/>
  <c r="T21" i="5"/>
  <c r="T38" i="5" s="1"/>
  <c r="U34" i="5"/>
  <c r="U29" i="5"/>
  <c r="U26" i="5"/>
  <c r="U37" i="5"/>
  <c r="U27" i="5"/>
  <c r="U38" i="5"/>
  <c r="P27" i="5"/>
  <c r="P30" i="5"/>
  <c r="Q29" i="5"/>
  <c r="N21" i="5"/>
  <c r="N27" i="5" s="1"/>
  <c r="T34" i="5" l="1"/>
  <c r="T27" i="5"/>
  <c r="T29" i="5"/>
  <c r="K51" i="2"/>
  <c r="V27" i="5"/>
  <c r="V30" i="5"/>
  <c r="V34" i="5"/>
  <c r="W28" i="5"/>
  <c r="V29" i="5"/>
  <c r="V28" i="5"/>
  <c r="V40" i="5"/>
  <c r="P37" i="5"/>
  <c r="P39" i="5" s="1"/>
  <c r="V38" i="5"/>
  <c r="V39" i="5" s="1"/>
  <c r="W37" i="5"/>
  <c r="R27" i="5"/>
  <c r="V26" i="5"/>
  <c r="W26" i="5"/>
  <c r="Q34" i="5"/>
  <c r="S34" i="5"/>
  <c r="S26" i="5"/>
  <c r="P40" i="5"/>
  <c r="P38" i="5"/>
  <c r="R40" i="5"/>
  <c r="P34" i="5"/>
  <c r="S29" i="5"/>
  <c r="R34" i="5"/>
  <c r="R29" i="5"/>
  <c r="R38" i="5"/>
  <c r="S37" i="5"/>
  <c r="P32" i="5"/>
  <c r="T26" i="5"/>
  <c r="P29" i="5"/>
  <c r="R26" i="5"/>
  <c r="P33" i="5"/>
  <c r="R37" i="5"/>
  <c r="R30" i="5"/>
  <c r="W30" i="5"/>
  <c r="L39" i="2"/>
  <c r="L43" i="2" s="1"/>
  <c r="O28" i="5"/>
  <c r="O31" i="5"/>
  <c r="Q26" i="5"/>
  <c r="M40" i="5"/>
  <c r="M31" i="5"/>
  <c r="O34" i="5"/>
  <c r="Q37" i="5"/>
  <c r="O32" i="5"/>
  <c r="Q27" i="5"/>
  <c r="S27" i="5"/>
  <c r="O29" i="5"/>
  <c r="Q38" i="5"/>
  <c r="S38" i="5"/>
  <c r="M51" i="2"/>
  <c r="O26" i="5"/>
  <c r="Q40" i="5"/>
  <c r="T40" i="5"/>
  <c r="P28" i="5"/>
  <c r="P31" i="5"/>
  <c r="N29" i="5"/>
  <c r="N31" i="5"/>
  <c r="O37" i="5"/>
  <c r="O33" i="5"/>
  <c r="O30" i="5"/>
  <c r="O27" i="5"/>
  <c r="O38" i="5"/>
  <c r="O40" i="5"/>
  <c r="N33" i="5"/>
  <c r="N40" i="5"/>
  <c r="U35" i="5"/>
  <c r="N32" i="5"/>
  <c r="N30" i="5"/>
  <c r="N38" i="5"/>
  <c r="N34" i="5"/>
  <c r="S40" i="5"/>
  <c r="S28" i="5"/>
  <c r="W29" i="5"/>
  <c r="W34" i="5"/>
  <c r="W40" i="5"/>
  <c r="W38" i="5"/>
  <c r="X31" i="2"/>
  <c r="L50" i="2"/>
  <c r="X42" i="2"/>
  <c r="W57" i="1" s="1"/>
  <c r="X53" i="2"/>
  <c r="M38" i="5"/>
  <c r="M26" i="5"/>
  <c r="M30" i="5"/>
  <c r="M29" i="5"/>
  <c r="M27" i="5"/>
  <c r="M33" i="5"/>
  <c r="M37" i="5"/>
  <c r="M32" i="5"/>
  <c r="M34" i="5"/>
  <c r="N37" i="5"/>
  <c r="N28" i="5"/>
  <c r="Q28" i="5"/>
  <c r="W39" i="5"/>
  <c r="M28" i="5"/>
  <c r="W48" i="1"/>
  <c r="W56" i="1"/>
  <c r="U39" i="5"/>
  <c r="T37" i="5"/>
  <c r="T39" i="5" s="1"/>
  <c r="T28" i="5"/>
  <c r="T30" i="5"/>
  <c r="N26" i="5"/>
  <c r="AG12" i="3"/>
  <c r="AG19" i="3" s="1"/>
  <c r="N24" i="3"/>
  <c r="O24" i="3"/>
  <c r="P24" i="3"/>
  <c r="Q24" i="3"/>
  <c r="R24" i="3"/>
  <c r="S24" i="3"/>
  <c r="N25" i="3"/>
  <c r="O25" i="3"/>
  <c r="P25" i="3"/>
  <c r="Q25" i="3"/>
  <c r="R25" i="3"/>
  <c r="S25" i="3"/>
  <c r="M24" i="3"/>
  <c r="M25" i="3"/>
  <c r="N27" i="3"/>
  <c r="O27" i="3"/>
  <c r="P27" i="3"/>
  <c r="Q27" i="3"/>
  <c r="R27" i="3"/>
  <c r="S27" i="3"/>
  <c r="M27" i="3"/>
  <c r="Y8" i="3"/>
  <c r="Y12" i="3" s="1"/>
  <c r="Y19" i="3" s="1"/>
  <c r="Z8" i="3"/>
  <c r="Z12" i="3" s="1"/>
  <c r="Z19" i="3" s="1"/>
  <c r="N46" i="3" s="1"/>
  <c r="AA8" i="3"/>
  <c r="AA12" i="3" s="1"/>
  <c r="AA19" i="3" s="1"/>
  <c r="AB8" i="3"/>
  <c r="AC8" i="3"/>
  <c r="AC12" i="3" s="1"/>
  <c r="AC19" i="3" s="1"/>
  <c r="AD8" i="3"/>
  <c r="AE8" i="3"/>
  <c r="AE12" i="3" s="1"/>
  <c r="AE19" i="3" s="1"/>
  <c r="AF8" i="3"/>
  <c r="AH8" i="3"/>
  <c r="AH12" i="3" s="1"/>
  <c r="AI8" i="3"/>
  <c r="AI12" i="3" s="1"/>
  <c r="AI19" i="3" s="1"/>
  <c r="AJ8" i="3"/>
  <c r="AJ12" i="3" s="1"/>
  <c r="AJ19" i="3" s="1"/>
  <c r="S46" i="3" s="1"/>
  <c r="AK8" i="3"/>
  <c r="AK12" i="3" s="1"/>
  <c r="AK19" i="3" s="1"/>
  <c r="X8" i="3"/>
  <c r="N48" i="2"/>
  <c r="M69" i="1" s="1"/>
  <c r="M37" i="1"/>
  <c r="M47" i="1" s="1"/>
  <c r="M50" i="1"/>
  <c r="Z21" i="3" l="1"/>
  <c r="AJ21" i="3"/>
  <c r="V35" i="5"/>
  <c r="V41" i="5" s="1"/>
  <c r="U41" i="5"/>
  <c r="S39" i="5"/>
  <c r="R35" i="5"/>
  <c r="W35" i="5"/>
  <c r="W41" i="5" s="1"/>
  <c r="R39" i="5"/>
  <c r="P35" i="5"/>
  <c r="P41" i="5" s="1"/>
  <c r="O35" i="5"/>
  <c r="O41" i="5" s="1"/>
  <c r="Q35" i="5"/>
  <c r="O39" i="5"/>
  <c r="S35" i="5"/>
  <c r="N39" i="5"/>
  <c r="X39" i="2"/>
  <c r="X43" i="2" s="1"/>
  <c r="Q39" i="5"/>
  <c r="N35" i="5"/>
  <c r="N41" i="5" s="1"/>
  <c r="M39" i="5"/>
  <c r="L51" i="2"/>
  <c r="M35" i="5"/>
  <c r="X12" i="3"/>
  <c r="X19" i="3" s="1"/>
  <c r="M46" i="3" s="1"/>
  <c r="M26" i="3"/>
  <c r="N27" i="2"/>
  <c r="N29" i="2" s="1"/>
  <c r="N31" i="2" s="1"/>
  <c r="T35" i="5"/>
  <c r="T41" i="5" s="1"/>
  <c r="S26" i="3"/>
  <c r="S29" i="3"/>
  <c r="AH19" i="3"/>
  <c r="R46" i="3" s="1"/>
  <c r="R29" i="3"/>
  <c r="R26" i="3"/>
  <c r="Q26" i="3"/>
  <c r="AF12" i="3"/>
  <c r="Q29" i="3" s="1"/>
  <c r="P26" i="3"/>
  <c r="AD12" i="3"/>
  <c r="O26" i="3"/>
  <c r="AB12" i="3"/>
  <c r="O29" i="3" s="1"/>
  <c r="N29" i="3"/>
  <c r="N26" i="3"/>
  <c r="P48" i="2"/>
  <c r="O69" i="1" s="1"/>
  <c r="Q48" i="2"/>
  <c r="P69" i="1" s="1"/>
  <c r="R48" i="2"/>
  <c r="Q69" i="1" s="1"/>
  <c r="S48" i="2"/>
  <c r="R69" i="1" s="1"/>
  <c r="T48" i="2"/>
  <c r="S69" i="1" s="1"/>
  <c r="U48" i="2"/>
  <c r="T69" i="1" s="1"/>
  <c r="V48" i="2"/>
  <c r="U69" i="1" s="1"/>
  <c r="W48" i="2"/>
  <c r="V69" i="1" s="1"/>
  <c r="O55" i="1"/>
  <c r="P55" i="1"/>
  <c r="Q55" i="1"/>
  <c r="R55" i="1"/>
  <c r="S55" i="1"/>
  <c r="T55" i="1"/>
  <c r="U55" i="1"/>
  <c r="V55" i="1"/>
  <c r="O50" i="1"/>
  <c r="P50" i="1"/>
  <c r="Q50" i="1"/>
  <c r="R50" i="1"/>
  <c r="S50" i="1"/>
  <c r="T50" i="1"/>
  <c r="U50" i="1"/>
  <c r="N50" i="1"/>
  <c r="V44" i="1"/>
  <c r="V46" i="1" s="1"/>
  <c r="V96" i="1" s="1"/>
  <c r="V99" i="1" s="1"/>
  <c r="V37" i="1"/>
  <c r="U44" i="1"/>
  <c r="U46" i="1" s="1"/>
  <c r="U96" i="1" s="1"/>
  <c r="U99" i="1" s="1"/>
  <c r="U37" i="1"/>
  <c r="T44" i="1"/>
  <c r="T46" i="1" s="1"/>
  <c r="T96" i="1" s="1"/>
  <c r="T99" i="1" s="1"/>
  <c r="T37" i="1"/>
  <c r="S44" i="1"/>
  <c r="S46" i="1" s="1"/>
  <c r="S96" i="1" s="1"/>
  <c r="S99" i="1" s="1"/>
  <c r="S37" i="1"/>
  <c r="R37" i="1"/>
  <c r="R47" i="1" s="1"/>
  <c r="Q37" i="1"/>
  <c r="Q47" i="1" s="1"/>
  <c r="P37" i="1"/>
  <c r="P47" i="1" s="1"/>
  <c r="O37" i="1"/>
  <c r="O47" i="1" s="1"/>
  <c r="N37" i="1"/>
  <c r="N47" i="1" s="1"/>
  <c r="AH21" i="3" l="1"/>
  <c r="R41" i="5"/>
  <c r="S41" i="5"/>
  <c r="Q41" i="5"/>
  <c r="N39" i="2"/>
  <c r="N43" i="2" s="1"/>
  <c r="S52" i="1"/>
  <c r="S91" i="1"/>
  <c r="S79" i="1"/>
  <c r="S82" i="1"/>
  <c r="S81" i="1"/>
  <c r="T52" i="1"/>
  <c r="T79" i="1"/>
  <c r="T91" i="1"/>
  <c r="T82" i="1"/>
  <c r="T81" i="1"/>
  <c r="U52" i="1"/>
  <c r="U79" i="1"/>
  <c r="U91" i="1"/>
  <c r="U82" i="1"/>
  <c r="U81" i="1"/>
  <c r="V52" i="1"/>
  <c r="V79" i="1"/>
  <c r="V91" i="1"/>
  <c r="V82" i="1"/>
  <c r="V81" i="1"/>
  <c r="T47" i="1"/>
  <c r="U47" i="1"/>
  <c r="S47" i="1"/>
  <c r="V47" i="1"/>
  <c r="M41" i="5"/>
  <c r="X21" i="3"/>
  <c r="N50" i="2"/>
  <c r="M29" i="3"/>
  <c r="M48" i="1"/>
  <c r="N53" i="2"/>
  <c r="N42" i="2"/>
  <c r="M57" i="1" s="1"/>
  <c r="AB19" i="3"/>
  <c r="AF19" i="3"/>
  <c r="P29" i="3"/>
  <c r="AD19" i="3"/>
  <c r="N51" i="2" l="1"/>
  <c r="O46" i="3"/>
  <c r="AB21" i="3"/>
  <c r="P46" i="3"/>
  <c r="AD21" i="3"/>
  <c r="Q46" i="3"/>
  <c r="AF21" i="3"/>
  <c r="O48" i="2"/>
  <c r="N69" i="1" s="1"/>
  <c r="N48" i="1"/>
  <c r="Q48" i="1" l="1"/>
  <c r="U48" i="1"/>
  <c r="S48" i="1"/>
  <c r="P48" i="1"/>
  <c r="V48" i="1"/>
  <c r="T48" i="1"/>
  <c r="O48" i="1"/>
  <c r="W27" i="2"/>
  <c r="U27" i="2"/>
  <c r="U53" i="2" s="1"/>
  <c r="S27" i="2"/>
  <c r="Q27" i="2"/>
  <c r="O27" i="2"/>
  <c r="O53" i="2" s="1"/>
  <c r="V27" i="2"/>
  <c r="V53" i="2" s="1"/>
  <c r="T27" i="2"/>
  <c r="R27" i="2"/>
  <c r="P27" i="2"/>
  <c r="R48" i="1" l="1"/>
  <c r="R56" i="1"/>
  <c r="R29" i="2"/>
  <c r="R31" i="2" s="1"/>
  <c r="R53" i="2"/>
  <c r="Q29" i="2"/>
  <c r="Q31" i="2" s="1"/>
  <c r="Q53" i="2"/>
  <c r="P29" i="2"/>
  <c r="P31" i="2" s="1"/>
  <c r="P53" i="2"/>
  <c r="T29" i="2"/>
  <c r="T31" i="2" s="1"/>
  <c r="T53" i="2"/>
  <c r="S29" i="2"/>
  <c r="S31" i="2" s="1"/>
  <c r="S53" i="2"/>
  <c r="W29" i="2"/>
  <c r="W31" i="2" s="1"/>
  <c r="W53" i="2"/>
  <c r="V29" i="2"/>
  <c r="V31" i="2" s="1"/>
  <c r="U29" i="2"/>
  <c r="U31" i="2" s="1"/>
  <c r="O29" i="2"/>
  <c r="O31" i="2" s="1"/>
  <c r="V56" i="1"/>
  <c r="Q56" i="1"/>
  <c r="N56" i="1"/>
  <c r="P56" i="1"/>
  <c r="T56" i="1"/>
  <c r="O56" i="1"/>
  <c r="S56" i="1"/>
  <c r="U56" i="1"/>
  <c r="U39" i="2" l="1"/>
  <c r="U43" i="2" s="1"/>
  <c r="V39" i="2"/>
  <c r="V43" i="2" s="1"/>
  <c r="P39" i="2"/>
  <c r="P43" i="2" s="1"/>
  <c r="W39" i="2"/>
  <c r="W51" i="2" s="1"/>
  <c r="Q39" i="2"/>
  <c r="Q43" i="2" s="1"/>
  <c r="S39" i="2"/>
  <c r="S43" i="2" s="1"/>
  <c r="R39" i="2"/>
  <c r="R51" i="2" s="1"/>
  <c r="O39" i="2"/>
  <c r="O43" i="2" s="1"/>
  <c r="T39" i="2"/>
  <c r="T43" i="2" s="1"/>
  <c r="P42" i="2"/>
  <c r="O57" i="1" s="1"/>
  <c r="T42" i="2"/>
  <c r="S57" i="1" s="1"/>
  <c r="R42" i="2"/>
  <c r="Q57" i="1" s="1"/>
  <c r="S42" i="2"/>
  <c r="R57" i="1" s="1"/>
  <c r="Q42" i="2"/>
  <c r="W42" i="2"/>
  <c r="V57" i="1" s="1"/>
  <c r="U50" i="2"/>
  <c r="W50" i="2"/>
  <c r="S50" i="2"/>
  <c r="T50" i="2"/>
  <c r="P50" i="2"/>
  <c r="Q50" i="2"/>
  <c r="R50" i="2"/>
  <c r="O50" i="2"/>
  <c r="V50" i="2"/>
  <c r="V42" i="2"/>
  <c r="U57" i="1" s="1"/>
  <c r="U42" i="2"/>
  <c r="T57" i="1" s="1"/>
  <c r="O42" i="2"/>
  <c r="N57" i="1" s="1"/>
  <c r="P51" i="2" l="1"/>
  <c r="Q51" i="2"/>
  <c r="S51" i="2"/>
  <c r="W43" i="2"/>
  <c r="R43" i="2"/>
  <c r="T51" i="2"/>
  <c r="O51" i="2"/>
  <c r="U51" i="2"/>
  <c r="V51" i="2"/>
</calcChain>
</file>

<file path=xl/sharedStrings.xml><?xml version="1.0" encoding="utf-8"?>
<sst xmlns="http://schemas.openxmlformats.org/spreadsheetml/2006/main" count="602" uniqueCount="375">
  <si>
    <t xml:space="preserve">    Total Investments</t>
  </si>
  <si>
    <t xml:space="preserve">  Cash and Cash Equivalents</t>
  </si>
  <si>
    <t xml:space="preserve">  Prepaid reinsurance premiums</t>
  </si>
  <si>
    <t>TOTAL ASSETS</t>
  </si>
  <si>
    <t xml:space="preserve">  Unearned Premiums</t>
  </si>
  <si>
    <t xml:space="preserve">  Retained earnings</t>
  </si>
  <si>
    <t>Debt as % of Total Capital Employed</t>
  </si>
  <si>
    <t>TOTAL REVENUES</t>
  </si>
  <si>
    <t>TOTAL EXPENSES</t>
  </si>
  <si>
    <t>OPERATING REVENUES:</t>
  </si>
  <si>
    <t>OPERATING EXPENSES:</t>
  </si>
  <si>
    <t>Average diluted shares outstanding</t>
  </si>
  <si>
    <t>Diluted Comprehensive Income per Share</t>
  </si>
  <si>
    <t>Diluted Net Income per Share</t>
  </si>
  <si>
    <t xml:space="preserve">  Underwriting Losses as % of Premiums</t>
  </si>
  <si>
    <t xml:space="preserve">  Expenses as % of Premiums</t>
  </si>
  <si>
    <t xml:space="preserve">  Combined Ratio</t>
  </si>
  <si>
    <t>Insurance Ratios - (All Insurance Subsidiaries)</t>
  </si>
  <si>
    <t>Net Income as % of Average Shareholders' Equity</t>
  </si>
  <si>
    <t>Comprehensive Income as % of Average Shareholders' Equity</t>
  </si>
  <si>
    <t>Equity Investments as % of Shareholders' Equity</t>
  </si>
  <si>
    <t>Total Investments + cash as % of Shareholders' Equity</t>
  </si>
  <si>
    <t>RATIO ANALYSIS AS % OF TOTAL ASSETS</t>
  </si>
  <si>
    <t xml:space="preserve">  Fixed Income Investments</t>
  </si>
  <si>
    <t xml:space="preserve">  Equity Investments</t>
  </si>
  <si>
    <t xml:space="preserve">  Loss Reserves</t>
  </si>
  <si>
    <t xml:space="preserve">  Debt</t>
  </si>
  <si>
    <t xml:space="preserve">  Shareholders' Equity</t>
  </si>
  <si>
    <t>Change in shares outstanding</t>
  </si>
  <si>
    <t xml:space="preserve">  Premiums receivable</t>
  </si>
  <si>
    <t xml:space="preserve">  Reinsurance recoverables</t>
  </si>
  <si>
    <t xml:space="preserve">  Deferred acquisition costs</t>
  </si>
  <si>
    <t xml:space="preserve">  Income Taxes</t>
  </si>
  <si>
    <t xml:space="preserve">  Loss and loss adjustment expense reserves</t>
  </si>
  <si>
    <t xml:space="preserve">  Accounts payable, accrued expenses, and other liabilities</t>
  </si>
  <si>
    <t xml:space="preserve">  Paid-in capital</t>
  </si>
  <si>
    <t>Figures in Millions</t>
  </si>
  <si>
    <t xml:space="preserve">  Unamortized restricted stock</t>
  </si>
  <si>
    <t>Income Before income taxes</t>
  </si>
  <si>
    <t>Provision for income taxes</t>
  </si>
  <si>
    <t xml:space="preserve">COMPREHENSIVE INCOME (LOSS) </t>
  </si>
  <si>
    <t>Period End Price</t>
  </si>
  <si>
    <t>Period End Price/Book Value</t>
  </si>
  <si>
    <t xml:space="preserve">Market Capitalization, Period End </t>
  </si>
  <si>
    <t>Personal Lines</t>
  </si>
  <si>
    <t xml:space="preserve">  Agency</t>
  </si>
  <si>
    <t xml:space="preserve">  Direct </t>
  </si>
  <si>
    <t xml:space="preserve">    Total Personal Lines</t>
  </si>
  <si>
    <t>Commercial Auto</t>
  </si>
  <si>
    <t>Other indemnity</t>
  </si>
  <si>
    <t>Total underwriting operations</t>
  </si>
  <si>
    <t>Service businesses</t>
  </si>
  <si>
    <t>Consolidated Total</t>
  </si>
  <si>
    <t>Revenues</t>
  </si>
  <si>
    <t>Pretax Profit</t>
  </si>
  <si>
    <t xml:space="preserve">Investments  </t>
  </si>
  <si>
    <t>Interest expense</t>
  </si>
  <si>
    <t>Net gain on extinguishment of debt</t>
  </si>
  <si>
    <t>Combined Ratios:</t>
  </si>
  <si>
    <t>Personal lines agency</t>
  </si>
  <si>
    <t xml:space="preserve">Personal lines direct </t>
  </si>
  <si>
    <t xml:space="preserve">Commercial lines </t>
  </si>
  <si>
    <t>Total</t>
  </si>
  <si>
    <t>This spreadsheet provides supplementary data related to the competition between GEICO and Progressive in the auto insurance market.</t>
  </si>
  <si>
    <t>GEICO</t>
  </si>
  <si>
    <t>Progressive</t>
  </si>
  <si>
    <t>Year</t>
  </si>
  <si>
    <t>Premiums 
Earned</t>
  </si>
  <si>
    <t>Loss
Ratio</t>
  </si>
  <si>
    <t>Expense
Ratio</t>
  </si>
  <si>
    <t>Comb.
Ratio</t>
  </si>
  <si>
    <t>UW 
Profit</t>
  </si>
  <si>
    <t>UW
Profit</t>
  </si>
  <si>
    <t>Data In Millions</t>
  </si>
  <si>
    <t>Avg Annual Growth in Premiums Earned</t>
  </si>
  <si>
    <t>Avg Loss Ratio</t>
  </si>
  <si>
    <t>Avg Expense Ratio</t>
  </si>
  <si>
    <t>Avg Combined Ratio</t>
  </si>
  <si>
    <t>Personal lines - Total</t>
  </si>
  <si>
    <t>Fixed maturities:</t>
  </si>
  <si>
    <t xml:space="preserve">  U.S. government obligations</t>
  </si>
  <si>
    <t xml:space="preserve">  State and local government obligations</t>
  </si>
  <si>
    <t xml:space="preserve">  Corporate debt securities</t>
  </si>
  <si>
    <t>Short-term investments</t>
  </si>
  <si>
    <t>Total portfolio</t>
  </si>
  <si>
    <t>Figures in millions</t>
  </si>
  <si>
    <t xml:space="preserve">  Residential mortgage-backed securities</t>
  </si>
  <si>
    <t xml:space="preserve">  Commercial mortgage-backed securities</t>
  </si>
  <si>
    <t xml:space="preserve">  Other asset-backed securities</t>
  </si>
  <si>
    <t xml:space="preserve">  Redeemable preferred stocks</t>
  </si>
  <si>
    <t xml:space="preserve">    Total fixed maturities</t>
  </si>
  <si>
    <t>Equity securities:</t>
  </si>
  <si>
    <t xml:space="preserve">  Nonredeemable preferred stocks</t>
  </si>
  <si>
    <t xml:space="preserve">  Common equities</t>
  </si>
  <si>
    <t xml:space="preserve">    Total equity securities</t>
  </si>
  <si>
    <t>Investment Portfolio Allocation (%)</t>
  </si>
  <si>
    <t xml:space="preserve">  Other debt obligations</t>
  </si>
  <si>
    <t>Fixed Income portfolio duration, years</t>
  </si>
  <si>
    <t>Duration Distribution</t>
  </si>
  <si>
    <t>1 year</t>
  </si>
  <si>
    <t>2 years</t>
  </si>
  <si>
    <t>3 years</t>
  </si>
  <si>
    <t>5 years</t>
  </si>
  <si>
    <t>Credit Quality Distribution of Fixed Income Portfolio</t>
  </si>
  <si>
    <t>AAA</t>
  </si>
  <si>
    <t xml:space="preserve">AA </t>
  </si>
  <si>
    <t xml:space="preserve">A </t>
  </si>
  <si>
    <t>BBB</t>
  </si>
  <si>
    <t>Non-rated/other</t>
  </si>
  <si>
    <t xml:space="preserve">Total </t>
  </si>
  <si>
    <t xml:space="preserve">  Foreign government obligations</t>
  </si>
  <si>
    <t>Not presented</t>
  </si>
  <si>
    <t>Tax rate</t>
  </si>
  <si>
    <t>NA</t>
  </si>
  <si>
    <t>Fees and other revenues</t>
  </si>
  <si>
    <t xml:space="preserve">  Dividends payable</t>
  </si>
  <si>
    <t>Net income attributable to non-controlling interest, net of tax</t>
  </si>
  <si>
    <t>Property</t>
  </si>
  <si>
    <t xml:space="preserve">  Agency residential pass-through obligations</t>
  </si>
  <si>
    <t>10 years and up</t>
  </si>
  <si>
    <t>n/a</t>
  </si>
  <si>
    <t xml:space="preserve">  Serial Preferred Shares</t>
  </si>
  <si>
    <t>Book Value per common share</t>
  </si>
  <si>
    <t>Nov</t>
  </si>
  <si>
    <t>Oct</t>
  </si>
  <si>
    <t>Sep</t>
  </si>
  <si>
    <t>Aug</t>
  </si>
  <si>
    <t>Jul</t>
  </si>
  <si>
    <t>June</t>
  </si>
  <si>
    <t>May</t>
  </si>
  <si>
    <t>Apr</t>
  </si>
  <si>
    <t>Mar</t>
  </si>
  <si>
    <t>Feb</t>
  </si>
  <si>
    <t>Jan</t>
  </si>
  <si>
    <t>Dec</t>
  </si>
  <si>
    <t xml:space="preserve">  Personal Lines</t>
  </si>
  <si>
    <t xml:space="preserve">    Agency - auto</t>
  </si>
  <si>
    <t xml:space="preserve">    Direct - auto</t>
  </si>
  <si>
    <t xml:space="preserve">      Total personal auto</t>
  </si>
  <si>
    <t xml:space="preserve">      Total special lines</t>
  </si>
  <si>
    <t xml:space="preserve">  Total Personal Lines</t>
  </si>
  <si>
    <t>Total Commercial Lines</t>
  </si>
  <si>
    <t>Total Property business</t>
  </si>
  <si>
    <t>Companywide Total</t>
  </si>
  <si>
    <t>Progressive releases monthly results as press releases at the following address: https://investors.progressive.com/financials/financial-news-releases/default.aspx.</t>
  </si>
  <si>
    <t>POLICIES IN FORCE DATA</t>
  </si>
  <si>
    <t>NET PREMIUMS EARNED</t>
  </si>
  <si>
    <t xml:space="preserve">  Direct</t>
  </si>
  <si>
    <t xml:space="preserve">    Total Personal Lines Business</t>
  </si>
  <si>
    <t>Commercial Lines Business</t>
  </si>
  <si>
    <t>Property Business</t>
  </si>
  <si>
    <t>Total Net Premiums Earned</t>
  </si>
  <si>
    <t>Personal Lines Business:</t>
  </si>
  <si>
    <t>Other Lines</t>
  </si>
  <si>
    <t>GAAP Ratios:</t>
  </si>
  <si>
    <t xml:space="preserve">  Loss/LAE Ratio</t>
  </si>
  <si>
    <t xml:space="preserve">  Expense Ratio</t>
  </si>
  <si>
    <t>Net catastrophe loss ratio</t>
  </si>
  <si>
    <t>Combined Ratio excluding catastrophe loss ratio</t>
  </si>
  <si>
    <r>
      <t>Policies in Force</t>
    </r>
    <r>
      <rPr>
        <b/>
        <i/>
        <sz val="14"/>
        <color theme="1"/>
        <rFont val="Calibri"/>
        <family val="2"/>
      </rPr>
      <t xml:space="preserve"> </t>
    </r>
    <r>
      <rPr>
        <i/>
        <sz val="14"/>
        <color theme="1"/>
        <rFont val="Calibri"/>
        <family val="2"/>
      </rPr>
      <t>(figures in thousands)</t>
    </r>
  </si>
  <si>
    <t>Monthly Data Series</t>
  </si>
  <si>
    <t>This spreadsheet contains selected data taken from (or derived from) the monthly releases on policies in force, net premiums earned, and GAAP ratios from the monthly data series.</t>
  </si>
  <si>
    <t>The release also contains monthly income statements and balance sheet information, although I consider it sufficient to review those exhibits on a quarterly basis through the pandemic period.</t>
  </si>
  <si>
    <t>Policies in Force - Sequential Change</t>
  </si>
  <si>
    <t>Policies in Force - Change over twelve months</t>
  </si>
  <si>
    <t>Updated 12/5/2022</t>
  </si>
  <si>
    <t>Available-for-sale securities, at fair value:</t>
  </si>
  <si>
    <t xml:space="preserve">  Fixed maturities</t>
  </si>
  <si>
    <t xml:space="preserve">  Short-term investments</t>
  </si>
  <si>
    <t xml:space="preserve">    Total available-for-sale securities</t>
  </si>
  <si>
    <t>Equity securities, at fair value</t>
  </si>
  <si>
    <t xml:space="preserve">  Common Equities</t>
  </si>
  <si>
    <t>Cash and Cash Equivalents</t>
  </si>
  <si>
    <t>Restricted Cash and cash equivalents</t>
  </si>
  <si>
    <t xml:space="preserve">    Total cash and restricted cash equivalents</t>
  </si>
  <si>
    <t>Net federal deferred income taxes</t>
  </si>
  <si>
    <t>Accrued investment income</t>
  </si>
  <si>
    <t>Premiums receivable</t>
  </si>
  <si>
    <t>Reinsurance recoverables</t>
  </si>
  <si>
    <t>Prepaid reinsurance premiums</t>
  </si>
  <si>
    <t>Deferred acquisition costs</t>
  </si>
  <si>
    <t>Property and equipment, net of depreciation</t>
  </si>
  <si>
    <t>Goodwill</t>
  </si>
  <si>
    <t>Intangible assets, net of accumulated amortization</t>
  </si>
  <si>
    <t>Other assets</t>
  </si>
  <si>
    <t>ASSETS</t>
  </si>
  <si>
    <t>LIABILITIES AND SHAREHOLDERS' EQUITY</t>
  </si>
  <si>
    <t>Unearned Premiums</t>
  </si>
  <si>
    <t>Loss and loss adjustment expense reserves</t>
  </si>
  <si>
    <t>TOTAL LIABILITIES</t>
  </si>
  <si>
    <t>TOTAL SHAREHOLDDERS' EQUITY</t>
  </si>
  <si>
    <t>REDEEMABLE NONCONTROLLING INTEREST</t>
  </si>
  <si>
    <t xml:space="preserve">  Net federal deferred income taxes</t>
  </si>
  <si>
    <t xml:space="preserve">  Common Shares</t>
  </si>
  <si>
    <t xml:space="preserve">  Accumulated other comprehensive income (loss)</t>
  </si>
  <si>
    <t>SHAREHOLDERS' EQUITY</t>
  </si>
  <si>
    <t>LIABILITIES</t>
  </si>
  <si>
    <t>TOTAL LIABILITIES AND SHAREHOLDERS' EQUITY</t>
  </si>
  <si>
    <t>P/E Ratio at Period-End (Source: AR 10 Year Summary)</t>
  </si>
  <si>
    <t>ESTIMATED FLOAT</t>
  </si>
  <si>
    <t>Less:</t>
  </si>
  <si>
    <t>Estimated Float</t>
  </si>
  <si>
    <t>RATIO ANALYSIS - INVESTMENTS</t>
  </si>
  <si>
    <t>Fixed maturity Investments</t>
  </si>
  <si>
    <t>Common stocks</t>
  </si>
  <si>
    <t>Preferred stocks</t>
  </si>
  <si>
    <t>Total investments</t>
  </si>
  <si>
    <t>Fixed Maturity &amp; short-term Investments as a % of Total Float</t>
  </si>
  <si>
    <t>Shares Outstanding (4:1 split in 2006 and 3:1 split in 2002)</t>
  </si>
  <si>
    <t>Fiscal Years Ending on December 31</t>
  </si>
  <si>
    <t>9 Months Ending on</t>
  </si>
  <si>
    <t>Net Premiums Earned</t>
  </si>
  <si>
    <t>Investment Income</t>
  </si>
  <si>
    <t>Net realized gains (losses) on securities:</t>
  </si>
  <si>
    <t xml:space="preserve">  Net realized gains (losses) on security sales</t>
  </si>
  <si>
    <t xml:space="preserve">  Net holding period gains (losses) on securities</t>
  </si>
  <si>
    <t xml:space="preserve">  Net impairment losses recognized in earnings</t>
  </si>
  <si>
    <t>Total net realized gains (losses) on securities</t>
  </si>
  <si>
    <t>Fees and other revenue</t>
  </si>
  <si>
    <t>Service revenues</t>
  </si>
  <si>
    <t>Other income</t>
  </si>
  <si>
    <t>Losses and loss adjustment expenses</t>
  </si>
  <si>
    <t>Policy acquisition costs</t>
  </si>
  <si>
    <t>Other underwriting expenses</t>
  </si>
  <si>
    <t>Policyholder credit expense</t>
  </si>
  <si>
    <t>Investment Expenses</t>
  </si>
  <si>
    <t>Service Expenses</t>
  </si>
  <si>
    <t>Interest Expense</t>
  </si>
  <si>
    <t>Changes in:</t>
  </si>
  <si>
    <t xml:space="preserve">  Net unrealized losses on forecasted transactions</t>
  </si>
  <si>
    <t xml:space="preserve">  Foreign currency translation adjustment</t>
  </si>
  <si>
    <t>Other comprehensive income (loss)</t>
  </si>
  <si>
    <t>NET INCOME (LOSS)</t>
  </si>
  <si>
    <t>NET INCOME (LOSS) ATTRIBUTABLE TO PROGRESSIVE</t>
  </si>
  <si>
    <t>Other Comprehensive Income (Loss):</t>
  </si>
  <si>
    <t>Other comprehensive income (loss) attributable to NCI</t>
  </si>
  <si>
    <t xml:space="preserve">  Total net unrealized gains (losses) on securities</t>
  </si>
  <si>
    <t>Updated 12/6/2022</t>
  </si>
  <si>
    <t>Balance Sheet and Float (Annual)</t>
  </si>
  <si>
    <t>Operating History (Annual)</t>
  </si>
  <si>
    <t>Segment Analysis (Annual)</t>
  </si>
  <si>
    <t>Updated 12/7/2022</t>
  </si>
  <si>
    <t>Pre-tax profit margin</t>
  </si>
  <si>
    <t>Revenue Summary</t>
  </si>
  <si>
    <t>Pre-Tax Profit Summary</t>
  </si>
  <si>
    <t>GEICO vs. Progressive</t>
  </si>
  <si>
    <t>Sources:  Berkshire Hathaway and Progressive Annual Reports</t>
  </si>
  <si>
    <t xml:space="preserve"> 2001 to 2021</t>
  </si>
  <si>
    <t>Investment Portfolio (Annual)</t>
  </si>
  <si>
    <t>Advertising costs</t>
  </si>
  <si>
    <t>A component of policy acquisition costs, expensed as incurred</t>
  </si>
  <si>
    <t>Disclosed in Note 1 of the financial statements</t>
  </si>
  <si>
    <t>Not Disclosed in 10-Q</t>
  </si>
  <si>
    <t>Not presented in 10-K prior to 2013 which included data for 2011, 2012, and 2013</t>
  </si>
  <si>
    <t>Advertising costs as % of earned premiums</t>
  </si>
  <si>
    <t>ACTIVITY IN LOSS AND LAE RESERVES:</t>
  </si>
  <si>
    <t>Goodwill impairment</t>
  </si>
  <si>
    <t>Prior to 2012, fees and other revenue were presented on a net basis within other underwriting expenses which is non-GAAP. 2005-11 left as originally reported.</t>
  </si>
  <si>
    <t>Balance at January 1</t>
  </si>
  <si>
    <t xml:space="preserve">  Less reinsurance recoverables on unpaid losses</t>
  </si>
  <si>
    <t>Net balance at January 1</t>
  </si>
  <si>
    <t>Total beginning reserves</t>
  </si>
  <si>
    <t>Incurred related to:</t>
  </si>
  <si>
    <t xml:space="preserve">  Current year</t>
  </si>
  <si>
    <t xml:space="preserve">  Prior years </t>
  </si>
  <si>
    <t>Total incurred</t>
  </si>
  <si>
    <t>Paid related to:</t>
  </si>
  <si>
    <t>Total paid</t>
  </si>
  <si>
    <t>Net balance at December 31</t>
  </si>
  <si>
    <t xml:space="preserve">  Plus reinsurance recoverables on unpaid losses</t>
  </si>
  <si>
    <t>Balance at December 31</t>
  </si>
  <si>
    <t>Personal lines</t>
  </si>
  <si>
    <t>Commercial lines</t>
  </si>
  <si>
    <t>Revenue per policy ($)</t>
  </si>
  <si>
    <t>Cash Flow Statements</t>
  </si>
  <si>
    <t>Updated 12/12/2022</t>
  </si>
  <si>
    <t>Net Income</t>
  </si>
  <si>
    <t>Adjustments to reconcile net income to net cash provided by operating activities:</t>
  </si>
  <si>
    <t xml:space="preserve">  Depreciation</t>
  </si>
  <si>
    <t xml:space="preserve">  Amortization of intangible assets</t>
  </si>
  <si>
    <t xml:space="preserve">  Net amortization of fixed-income securities</t>
  </si>
  <si>
    <t xml:space="preserve">  Amortization of equity-based compensation</t>
  </si>
  <si>
    <t xml:space="preserve">  Net realized (gains) losses on securities</t>
  </si>
  <si>
    <t xml:space="preserve">  Net (gains) losses on disposition of property and equipment</t>
  </si>
  <si>
    <t xml:space="preserve">  Changes in:</t>
  </si>
  <si>
    <t xml:space="preserve">    Premiums receivable</t>
  </si>
  <si>
    <t xml:space="preserve">    Reinsurance recoverables</t>
  </si>
  <si>
    <t xml:space="preserve">    Prepaid reinsurance premiums</t>
  </si>
  <si>
    <t xml:space="preserve">    Deferred acquisition costs</t>
  </si>
  <si>
    <t xml:space="preserve">    Income taxes</t>
  </si>
  <si>
    <t xml:space="preserve">    Unearned premiums</t>
  </si>
  <si>
    <t xml:space="preserve">    Loss and loss adjustment expense reserves</t>
  </si>
  <si>
    <t xml:space="preserve">    Account payable, accrued expenses, and other liabilities</t>
  </si>
  <si>
    <t xml:space="preserve">    Other, net</t>
  </si>
  <si>
    <t>Net cash provided by operating activities</t>
  </si>
  <si>
    <t>Cash Flows From Operating Activities:</t>
  </si>
  <si>
    <t>Cash Flows from Investing Activities:</t>
  </si>
  <si>
    <t xml:space="preserve">  Purchases:</t>
  </si>
  <si>
    <t xml:space="preserve">    Fixed maturities</t>
  </si>
  <si>
    <t xml:space="preserve">    Equity securities</t>
  </si>
  <si>
    <t xml:space="preserve">  Sales:</t>
  </si>
  <si>
    <t xml:space="preserve">  Maturities, paydowns, calls, and other:</t>
  </si>
  <si>
    <t xml:space="preserve">  Net (purchases) sales of short-term investments</t>
  </si>
  <si>
    <t xml:space="preserve">  Net unsettled securities transactions</t>
  </si>
  <si>
    <t xml:space="preserve">  Acquisition of Protective Insurance, net of cash acquired</t>
  </si>
  <si>
    <t xml:space="preserve">  Purchases of property and equipment</t>
  </si>
  <si>
    <t xml:space="preserve">  Sales of property and equipment</t>
  </si>
  <si>
    <t>Net cash used in investing activities</t>
  </si>
  <si>
    <t>Cash Flows From Financing Activities:</t>
  </si>
  <si>
    <t xml:space="preserve">  Dividends paid to common shareholders</t>
  </si>
  <si>
    <t xml:space="preserve">  Dividends paid to preferred shareholders</t>
  </si>
  <si>
    <t xml:space="preserve">  Acquisition of treasury shares for restricted stock tax liabilities</t>
  </si>
  <si>
    <t xml:space="preserve">  Acquisition of treasury shares acquired in open market</t>
  </si>
  <si>
    <t xml:space="preserve">  Payment of acquired company debt</t>
  </si>
  <si>
    <t xml:space="preserve">  Payments of debt</t>
  </si>
  <si>
    <t xml:space="preserve">  Acquisition of additional shares of ARX Holding Corp.</t>
  </si>
  <si>
    <t xml:space="preserve">  Net proceeds from debt issuance</t>
  </si>
  <si>
    <t xml:space="preserve">  Proceeds from exercise of equity options</t>
  </si>
  <si>
    <t>Net cash used in financing activities</t>
  </si>
  <si>
    <t>Increase (decrease) in cash and cash equivalents</t>
  </si>
  <si>
    <t>Cash and cash equivalents - beginning of year</t>
  </si>
  <si>
    <t>Cash and cash equivalents - end of year</t>
  </si>
  <si>
    <t xml:space="preserve">  Net proceeds from issuance of Series B Preferred Shares</t>
  </si>
  <si>
    <t xml:space="preserve">  Other (gains) losses</t>
  </si>
  <si>
    <t xml:space="preserve">  Acquisition of an insurance company, net of cash acquired</t>
  </si>
  <si>
    <t>Effect of exchange rate changes on cash</t>
  </si>
  <si>
    <t xml:space="preserve">  Net loss on exchange transaction</t>
  </si>
  <si>
    <t xml:space="preserve">  Net cash disposed in exchange transaction</t>
  </si>
  <si>
    <t xml:space="preserve">  Tax benefit from vesting of equity-based compensation</t>
  </si>
  <si>
    <t xml:space="preserve">  Acquisition of ARX Holding Corp, net of cash acquired</t>
  </si>
  <si>
    <t xml:space="preserve">  Goodwill impairment</t>
  </si>
  <si>
    <t>2012 to Q3 2022</t>
  </si>
  <si>
    <t>Cumulative Totals</t>
  </si>
  <si>
    <t>Selected sources and uses of cash - 2012 to Q3 2022</t>
  </si>
  <si>
    <t>$ millions</t>
  </si>
  <si>
    <t>Operating cash flow</t>
  </si>
  <si>
    <t>Purchases of property and equipment, net of sales</t>
  </si>
  <si>
    <t>Net purchases of fixed income securities</t>
  </si>
  <si>
    <t>Net sales of equity securities</t>
  </si>
  <si>
    <t>Net purchases of short-term securities</t>
  </si>
  <si>
    <t>Net proceeds from debt issuance less repayments</t>
  </si>
  <si>
    <t>Net proceeds from issuance of preferred stock</t>
  </si>
  <si>
    <t>Acquisitions</t>
  </si>
  <si>
    <t>Dividends on common stock</t>
  </si>
  <si>
    <t>Repurchases of common stock</t>
  </si>
  <si>
    <t>Selected sources of cash</t>
  </si>
  <si>
    <t>Selected uses of cash:</t>
  </si>
  <si>
    <t>Selected sources of cash:</t>
  </si>
  <si>
    <t>* Defining float as sum of unearned premiums and loss and loss adjustment reserves less the sum of premiums receivable, reinsurance recoverables, prepaid reinsurance premiums, and deferred acquisition costs.</t>
  </si>
  <si>
    <t>Increases in float *</t>
  </si>
  <si>
    <t>Pretax recurring investment book yield</t>
  </si>
  <si>
    <t>Fully tax equivalent (FTE) total return:</t>
  </si>
  <si>
    <t xml:space="preserve">  Fixed-income securities</t>
  </si>
  <si>
    <t xml:space="preserve">  Common stocks</t>
  </si>
  <si>
    <t xml:space="preserve">  Total portfolio</t>
  </si>
  <si>
    <t>Investment Returns</t>
  </si>
  <si>
    <t xml:space="preserve">  Redemption/reacquisition of subordinated debt</t>
  </si>
  <si>
    <t>Net loss and LAE reserves (disposed) acquired</t>
  </si>
  <si>
    <t>Updated 12/14/2022</t>
  </si>
  <si>
    <t>Combined Ratio</t>
  </si>
  <si>
    <t>A combined ratio under 100% indicates a negative cost of float</t>
  </si>
  <si>
    <t>Updated 12/19/2022</t>
  </si>
  <si>
    <t>9 Months Ending 9/30/22</t>
  </si>
  <si>
    <t>Property - Goodwill Impairment</t>
  </si>
  <si>
    <t>9ME 9/30/22</t>
  </si>
  <si>
    <t>Investment income</t>
  </si>
  <si>
    <t>INVESTMENT SEGMENT SUMMARY</t>
  </si>
  <si>
    <t>Less investment expenses</t>
  </si>
  <si>
    <t>Total investment segment results (affecting net income)</t>
  </si>
  <si>
    <t>Net unrealized gains (losses) on securities in other comprehensive income (loss)</t>
  </si>
  <si>
    <t>CAPITAL STRUCTURE ANALYSIS</t>
  </si>
  <si>
    <t>Total Investments</t>
  </si>
  <si>
    <t>Shareholders' Equity</t>
  </si>
  <si>
    <t>Debt</t>
  </si>
  <si>
    <t>Debt as a % of Total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</si>
</sst>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0%"/>
    <numFmt numFmtId="166" formatCode="_(* #,##0.0_);_(* \(#,##0.0\);_(* &quot;-&quot;??_);_(@_)"/>
    <numFmt numFmtId="167" formatCode="_(* #,##0.000_);_(* \(#,##0.000\);_(* &quot;-&quot;??_);_(@_)"/>
    <numFmt numFmtId="168" formatCode="_(* #,##0.0_);_(* \(#,##0.0\);_(* &quot;-&quot;?_);_(@_)"/>
    <numFmt numFmtId="169" formatCode="0.0"/>
  </numFmts>
  <fonts count="23" x14ac:knownFonts="1">
    <font>
      <sz val="11"/>
      <color theme="1"/>
      <name val="Calibri"/>
      <family val="2"/>
      <scheme val="minor"/>
    </font>
    <font>
      <sz val="12"/>
      <color theme="1"/>
      <name val="Calibri"/>
      <family val="2"/>
      <scheme val="minor"/>
    </font>
    <font>
      <sz val="11"/>
      <color theme="1"/>
      <name val="Calibri"/>
      <family val="2"/>
      <scheme val="minor"/>
    </font>
    <font>
      <sz val="10"/>
      <name val="Arial"/>
      <family val="2"/>
    </font>
    <font>
      <b/>
      <sz val="14"/>
      <name val="Calibri"/>
      <family val="2"/>
      <scheme val="minor"/>
    </font>
    <font>
      <sz val="14"/>
      <name val="Arial"/>
      <family val="2"/>
    </font>
    <font>
      <sz val="11"/>
      <color indexed="8"/>
      <name val="Calibri"/>
      <family val="2"/>
    </font>
    <font>
      <sz val="14"/>
      <color theme="1"/>
      <name val="Calibri"/>
      <family val="2"/>
    </font>
    <font>
      <b/>
      <sz val="14"/>
      <color theme="1"/>
      <name val="Calibri"/>
      <family val="2"/>
      <scheme val="minor"/>
    </font>
    <font>
      <i/>
      <sz val="14"/>
      <color theme="1"/>
      <name val="Calibri"/>
      <family val="2"/>
    </font>
    <font>
      <i/>
      <sz val="14"/>
      <color theme="1"/>
      <name val="Calibri"/>
      <family val="2"/>
      <scheme val="minor"/>
    </font>
    <font>
      <b/>
      <sz val="14"/>
      <color theme="1"/>
      <name val="Calibri"/>
      <family val="2"/>
    </font>
    <font>
      <b/>
      <i/>
      <sz val="14"/>
      <color theme="1"/>
      <name val="Calibri"/>
      <family val="2"/>
    </font>
    <font>
      <b/>
      <sz val="16"/>
      <color theme="1"/>
      <name val="Calibri"/>
      <family val="2"/>
      <scheme val="minor"/>
    </font>
    <font>
      <b/>
      <sz val="18"/>
      <color theme="1"/>
      <name val="Calibri"/>
      <family val="2"/>
      <scheme val="minor"/>
    </font>
    <font>
      <sz val="14"/>
      <color theme="1"/>
      <name val="Calibri (Body)"/>
    </font>
    <font>
      <i/>
      <sz val="14"/>
      <color theme="1"/>
      <name val="Calibri (Body)"/>
    </font>
    <font>
      <b/>
      <sz val="18"/>
      <color theme="1"/>
      <name val="Calibri"/>
      <family val="2"/>
    </font>
    <font>
      <sz val="14"/>
      <color theme="1"/>
      <name val="Calibri"/>
      <family val="2"/>
      <scheme val="minor"/>
    </font>
    <font>
      <sz val="14"/>
      <name val="Calibri"/>
      <family val="2"/>
      <scheme val="minor"/>
    </font>
    <font>
      <i/>
      <sz val="14"/>
      <name val="Calibri"/>
      <family val="2"/>
      <scheme val="minor"/>
    </font>
    <font>
      <b/>
      <sz val="14"/>
      <name val="Arial"/>
      <family val="2"/>
    </font>
    <font>
      <b/>
      <sz val="18"/>
      <name val="Calibri"/>
      <family val="2"/>
      <scheme val="minor"/>
    </font>
  </fonts>
  <fills count="22">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FC000"/>
        <bgColor indexed="64"/>
      </patternFill>
    </fill>
    <fill>
      <patternFill patternType="solid">
        <fgColor rgb="FF92D050"/>
        <bgColor indexed="64"/>
      </patternFill>
    </fill>
  </fills>
  <borders count="32">
    <border>
      <left/>
      <right/>
      <top/>
      <bottom/>
      <diagonal/>
    </border>
    <border>
      <left/>
      <right/>
      <top style="thin">
        <color auto="1"/>
      </top>
      <bottom/>
      <diagonal/>
    </border>
    <border>
      <left/>
      <right/>
      <top style="thin">
        <color auto="1"/>
      </top>
      <bottom style="double">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indexed="64"/>
      </bottom>
      <diagonal/>
    </border>
    <border>
      <left/>
      <right style="medium">
        <color auto="1"/>
      </right>
      <top style="thin">
        <color auto="1"/>
      </top>
      <bottom style="thin">
        <color auto="1"/>
      </bottom>
      <diagonal/>
    </border>
    <border>
      <left/>
      <right style="thin">
        <color auto="1"/>
      </right>
      <top/>
      <bottom style="thin">
        <color indexed="64"/>
      </bottom>
      <diagonal/>
    </border>
    <border>
      <left/>
      <right style="thin">
        <color auto="1"/>
      </right>
      <top/>
      <bottom style="medium">
        <color auto="1"/>
      </bottom>
      <diagonal/>
    </border>
    <border>
      <left/>
      <right style="double">
        <color auto="1"/>
      </right>
      <top/>
      <bottom/>
      <diagonal/>
    </border>
    <border>
      <left/>
      <right style="double">
        <color auto="1"/>
      </right>
      <top style="thin">
        <color auto="1"/>
      </top>
      <bottom/>
      <diagonal/>
    </border>
    <border>
      <left/>
      <right style="double">
        <color auto="1"/>
      </right>
      <top style="thin">
        <color auto="1"/>
      </top>
      <bottom style="double">
        <color auto="1"/>
      </bottom>
      <diagonal/>
    </border>
    <border>
      <left/>
      <right style="double">
        <color auto="1"/>
      </right>
      <top style="double">
        <color auto="1"/>
      </top>
      <bottom/>
      <diagonal/>
    </border>
    <border>
      <left style="double">
        <color auto="1"/>
      </left>
      <right/>
      <top/>
      <bottom/>
      <diagonal/>
    </border>
    <border>
      <left style="double">
        <color auto="1"/>
      </left>
      <right/>
      <top/>
      <bottom style="thin">
        <color auto="1"/>
      </bottom>
      <diagonal/>
    </border>
    <border>
      <left style="double">
        <color auto="1"/>
      </left>
      <right/>
      <top style="thin">
        <color auto="1"/>
      </top>
      <bottom/>
      <diagonal/>
    </border>
    <border>
      <left style="double">
        <color auto="1"/>
      </left>
      <right/>
      <top style="thin">
        <color auto="1"/>
      </top>
      <bottom style="double">
        <color auto="1"/>
      </bottom>
      <diagonal/>
    </border>
  </borders>
  <cellStyleXfs count="40">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5" borderId="4" applyNumberFormat="0" applyFont="0" applyAlignment="0" applyProtection="0"/>
    <xf numFmtId="0" fontId="2" fillId="5" borderId="4" applyNumberFormat="0" applyFont="0" applyAlignment="0" applyProtection="0"/>
    <xf numFmtId="0" fontId="2" fillId="5" borderId="4" applyNumberFormat="0" applyFont="0" applyAlignment="0" applyProtection="0"/>
    <xf numFmtId="0" fontId="1" fillId="0" borderId="0"/>
  </cellStyleXfs>
  <cellXfs count="252">
    <xf numFmtId="0" fontId="0" fillId="0" borderId="0" xfId="0"/>
    <xf numFmtId="0" fontId="7" fillId="0" borderId="0" xfId="0" applyFont="1"/>
    <xf numFmtId="0" fontId="9" fillId="0" borderId="0" xfId="0" applyFont="1"/>
    <xf numFmtId="0" fontId="11" fillId="0" borderId="0" xfId="0" applyFont="1"/>
    <xf numFmtId="0" fontId="8" fillId="3" borderId="0" xfId="0" applyFont="1" applyFill="1" applyAlignment="1">
      <alignment horizontal="center"/>
    </xf>
    <xf numFmtId="0" fontId="11" fillId="3" borderId="3" xfId="0" applyFont="1" applyFill="1" applyBorder="1" applyAlignment="1">
      <alignment horizontal="center"/>
    </xf>
    <xf numFmtId="0" fontId="11" fillId="20" borderId="3" xfId="0" applyFont="1" applyFill="1" applyBorder="1" applyAlignment="1">
      <alignment horizontal="center"/>
    </xf>
    <xf numFmtId="43" fontId="7" fillId="0" borderId="0" xfId="1" applyFont="1"/>
    <xf numFmtId="166" fontId="7" fillId="0" borderId="0" xfId="1" applyNumberFormat="1" applyFont="1"/>
    <xf numFmtId="166" fontId="11" fillId="0" borderId="0" xfId="1" applyNumberFormat="1" applyFont="1"/>
    <xf numFmtId="0" fontId="11" fillId="0" borderId="0" xfId="1" applyNumberFormat="1" applyFont="1"/>
    <xf numFmtId="0" fontId="7" fillId="0" borderId="0" xfId="1" applyNumberFormat="1" applyFont="1"/>
    <xf numFmtId="166" fontId="7" fillId="0" borderId="1" xfId="1" applyNumberFormat="1" applyFont="1" applyBorder="1"/>
    <xf numFmtId="166" fontId="11" fillId="0" borderId="2" xfId="1" applyNumberFormat="1" applyFont="1" applyBorder="1"/>
    <xf numFmtId="9" fontId="7" fillId="0" borderId="0" xfId="2" applyFont="1"/>
    <xf numFmtId="165" fontId="7" fillId="0" borderId="0" xfId="2" applyNumberFormat="1" applyFont="1"/>
    <xf numFmtId="165" fontId="7" fillId="0" borderId="3" xfId="2" applyNumberFormat="1" applyFont="1" applyBorder="1"/>
    <xf numFmtId="165" fontId="11" fillId="0" borderId="0" xfId="2" applyNumberFormat="1" applyFont="1"/>
    <xf numFmtId="0" fontId="11" fillId="0" borderId="0" xfId="0" applyFont="1" applyAlignment="1">
      <alignment horizontal="center"/>
    </xf>
    <xf numFmtId="0" fontId="14" fillId="3" borderId="0" xfId="0" applyFont="1" applyFill="1"/>
    <xf numFmtId="0" fontId="13" fillId="20" borderId="0" xfId="0" applyFont="1" applyFill="1" applyAlignment="1">
      <alignment horizontal="left" vertical="center"/>
    </xf>
    <xf numFmtId="164" fontId="7" fillId="0" borderId="0" xfId="1" applyNumberFormat="1" applyFont="1"/>
    <xf numFmtId="165" fontId="11" fillId="0" borderId="2" xfId="2" applyNumberFormat="1" applyFont="1" applyBorder="1"/>
    <xf numFmtId="0" fontId="9" fillId="0" borderId="0" xfId="1" applyNumberFormat="1" applyFont="1"/>
    <xf numFmtId="165" fontId="9" fillId="0" borderId="0" xfId="2" applyNumberFormat="1" applyFont="1"/>
    <xf numFmtId="166" fontId="7" fillId="0" borderId="0" xfId="1" applyNumberFormat="1" applyFont="1" applyFill="1"/>
    <xf numFmtId="166" fontId="15" fillId="0" borderId="0" xfId="1" applyNumberFormat="1" applyFont="1" applyFill="1"/>
    <xf numFmtId="0" fontId="15" fillId="0" borderId="0" xfId="0" applyFont="1"/>
    <xf numFmtId="0" fontId="16" fillId="0" borderId="0" xfId="0" applyFont="1" applyAlignment="1">
      <alignment horizontal="left" vertical="center"/>
    </xf>
    <xf numFmtId="0" fontId="1" fillId="0" borderId="0" xfId="39"/>
    <xf numFmtId="14" fontId="11" fillId="3" borderId="0" xfId="0" applyNumberFormat="1" applyFont="1" applyFill="1" applyAlignment="1">
      <alignment horizontal="center"/>
    </xf>
    <xf numFmtId="166" fontId="7" fillId="0" borderId="0" xfId="1" applyNumberFormat="1" applyFont="1" applyAlignment="1">
      <alignment vertical="top"/>
    </xf>
    <xf numFmtId="166" fontId="7" fillId="0" borderId="0" xfId="0" applyNumberFormat="1" applyFont="1"/>
    <xf numFmtId="166" fontId="7" fillId="0" borderId="0" xfId="1" applyNumberFormat="1" applyFont="1" applyAlignment="1">
      <alignment vertical="center"/>
    </xf>
    <xf numFmtId="166" fontId="7" fillId="0" borderId="0" xfId="1" applyNumberFormat="1" applyFont="1" applyBorder="1"/>
    <xf numFmtId="166" fontId="7" fillId="0" borderId="0" xfId="1" applyNumberFormat="1" applyFont="1" applyAlignment="1">
      <alignment vertical="center" wrapText="1"/>
    </xf>
    <xf numFmtId="169" fontId="7" fillId="0" borderId="0" xfId="0" applyNumberFormat="1" applyFont="1"/>
    <xf numFmtId="166" fontId="11" fillId="0" borderId="0" xfId="1" applyNumberFormat="1" applyFont="1" applyFill="1"/>
    <xf numFmtId="0" fontId="17" fillId="3" borderId="0" xfId="0" applyFont="1" applyFill="1"/>
    <xf numFmtId="166" fontId="7" fillId="0" borderId="19" xfId="1" applyNumberFormat="1" applyFont="1" applyBorder="1"/>
    <xf numFmtId="166" fontId="7" fillId="0" borderId="1" xfId="1" applyNumberFormat="1" applyFont="1" applyFill="1" applyBorder="1"/>
    <xf numFmtId="166" fontId="7" fillId="0" borderId="1" xfId="1" applyNumberFormat="1" applyFont="1" applyBorder="1" applyAlignment="1">
      <alignment vertical="top"/>
    </xf>
    <xf numFmtId="166" fontId="7" fillId="0" borderId="0" xfId="1" applyNumberFormat="1" applyFont="1" applyBorder="1" applyAlignment="1">
      <alignment vertical="center" wrapText="1"/>
    </xf>
    <xf numFmtId="166" fontId="11" fillId="0" borderId="0" xfId="1" applyNumberFormat="1" applyFont="1" applyFill="1" applyAlignment="1">
      <alignment horizontal="center"/>
    </xf>
    <xf numFmtId="166" fontId="11" fillId="0" borderId="1" xfId="1" applyNumberFormat="1" applyFont="1" applyFill="1" applyBorder="1"/>
    <xf numFmtId="166" fontId="11" fillId="0" borderId="1" xfId="1" applyNumberFormat="1" applyFont="1" applyBorder="1"/>
    <xf numFmtId="166" fontId="11" fillId="0" borderId="0" xfId="1" applyNumberFormat="1" applyFont="1" applyBorder="1"/>
    <xf numFmtId="0" fontId="17" fillId="0" borderId="0" xfId="0" applyFont="1"/>
    <xf numFmtId="43" fontId="7" fillId="0" borderId="0" xfId="1" applyFont="1" applyFill="1"/>
    <xf numFmtId="0" fontId="7" fillId="0" borderId="0" xfId="0" applyFont="1" applyAlignment="1">
      <alignment horizontal="right"/>
    </xf>
    <xf numFmtId="166" fontId="11" fillId="0" borderId="2" xfId="0" applyNumberFormat="1" applyFont="1" applyBorder="1"/>
    <xf numFmtId="0" fontId="11" fillId="20" borderId="0" xfId="0" applyFont="1" applyFill="1"/>
    <xf numFmtId="9" fontId="11" fillId="0" borderId="2" xfId="2" applyFont="1" applyBorder="1"/>
    <xf numFmtId="0" fontId="8" fillId="0" borderId="0" xfId="0" applyFont="1"/>
    <xf numFmtId="0" fontId="18" fillId="0" borderId="0" xfId="0" applyFont="1"/>
    <xf numFmtId="0" fontId="10" fillId="0" borderId="0" xfId="0" applyFont="1"/>
    <xf numFmtId="0" fontId="8" fillId="0" borderId="0" xfId="0" applyFont="1" applyAlignment="1">
      <alignment horizontal="center"/>
    </xf>
    <xf numFmtId="166" fontId="18" fillId="0" borderId="0" xfId="1" applyNumberFormat="1" applyFont="1"/>
    <xf numFmtId="166" fontId="18" fillId="0" borderId="0" xfId="1" applyNumberFormat="1" applyFont="1" applyBorder="1"/>
    <xf numFmtId="166" fontId="18" fillId="0" borderId="1" xfId="1" applyNumberFormat="1" applyFont="1" applyBorder="1"/>
    <xf numFmtId="167" fontId="18" fillId="0" borderId="0" xfId="1" applyNumberFormat="1" applyFont="1"/>
    <xf numFmtId="166" fontId="18" fillId="0" borderId="0" xfId="0" applyNumberFormat="1" applyFont="1"/>
    <xf numFmtId="166" fontId="8" fillId="0" borderId="0" xfId="1" applyNumberFormat="1" applyFont="1"/>
    <xf numFmtId="166" fontId="8" fillId="0" borderId="0" xfId="1" applyNumberFormat="1" applyFont="1" applyBorder="1"/>
    <xf numFmtId="166" fontId="8" fillId="0" borderId="2" xfId="1" applyNumberFormat="1" applyFont="1" applyBorder="1"/>
    <xf numFmtId="164" fontId="18" fillId="0" borderId="0" xfId="1" applyNumberFormat="1" applyFont="1"/>
    <xf numFmtId="164" fontId="18" fillId="0" borderId="0" xfId="1" applyNumberFormat="1" applyFont="1" applyBorder="1"/>
    <xf numFmtId="43" fontId="18" fillId="0" borderId="0" xfId="1" applyFont="1" applyFill="1"/>
    <xf numFmtId="43" fontId="18" fillId="0" borderId="0" xfId="1" applyFont="1" applyFill="1" applyBorder="1"/>
    <xf numFmtId="165" fontId="18" fillId="0" borderId="0" xfId="2" applyNumberFormat="1" applyFont="1"/>
    <xf numFmtId="165" fontId="18" fillId="0" borderId="0" xfId="2" applyNumberFormat="1" applyFont="1" applyBorder="1"/>
    <xf numFmtId="165" fontId="8" fillId="0" borderId="0" xfId="2" applyNumberFormat="1" applyFont="1"/>
    <xf numFmtId="165" fontId="8" fillId="0" borderId="0" xfId="2" applyNumberFormat="1" applyFont="1" applyBorder="1"/>
    <xf numFmtId="166" fontId="8" fillId="0" borderId="1" xfId="1" applyNumberFormat="1" applyFont="1" applyBorder="1"/>
    <xf numFmtId="14" fontId="8" fillId="20" borderId="0" xfId="0" applyNumberFormat="1" applyFont="1" applyFill="1"/>
    <xf numFmtId="14" fontId="8" fillId="20" borderId="24" xfId="0" applyNumberFormat="1" applyFont="1" applyFill="1" applyBorder="1"/>
    <xf numFmtId="0" fontId="8" fillId="0" borderId="24" xfId="0" applyFont="1" applyBorder="1"/>
    <xf numFmtId="166" fontId="18" fillId="0" borderId="24" xfId="1" applyNumberFormat="1" applyFont="1" applyBorder="1"/>
    <xf numFmtId="166" fontId="18" fillId="0" borderId="25" xfId="1" applyNumberFormat="1" applyFont="1" applyBorder="1"/>
    <xf numFmtId="166" fontId="8" fillId="0" borderId="25" xfId="1" applyNumberFormat="1" applyFont="1" applyBorder="1"/>
    <xf numFmtId="166" fontId="8" fillId="0" borderId="24" xfId="1" applyNumberFormat="1" applyFont="1" applyBorder="1"/>
    <xf numFmtId="166" fontId="8" fillId="0" borderId="26" xfId="1" applyNumberFormat="1" applyFont="1" applyBorder="1"/>
    <xf numFmtId="164" fontId="18" fillId="0" borderId="24" xfId="1" applyNumberFormat="1" applyFont="1" applyBorder="1"/>
    <xf numFmtId="43" fontId="18" fillId="0" borderId="24" xfId="1" applyFont="1" applyFill="1" applyBorder="1"/>
    <xf numFmtId="166" fontId="18" fillId="0" borderId="0" xfId="1" applyNumberFormat="1" applyFont="1" applyFill="1" applyAlignment="1"/>
    <xf numFmtId="0" fontId="14" fillId="0" borderId="0" xfId="0" applyFont="1"/>
    <xf numFmtId="165" fontId="8" fillId="0" borderId="0" xfId="2" applyNumberFormat="1" applyFont="1" applyFill="1"/>
    <xf numFmtId="165" fontId="8" fillId="0" borderId="0" xfId="2" applyNumberFormat="1" applyFont="1" applyFill="1" applyBorder="1"/>
    <xf numFmtId="0" fontId="18" fillId="0" borderId="24" xfId="0" applyFont="1" applyBorder="1"/>
    <xf numFmtId="165" fontId="18" fillId="0" borderId="24" xfId="2" applyNumberFormat="1" applyFont="1" applyBorder="1"/>
    <xf numFmtId="165" fontId="8" fillId="0" borderId="24" xfId="2" applyNumberFormat="1" applyFont="1" applyFill="1" applyBorder="1"/>
    <xf numFmtId="0" fontId="8" fillId="4" borderId="3" xfId="0" applyFont="1" applyFill="1" applyBorder="1" applyAlignment="1">
      <alignment horizontal="center"/>
    </xf>
    <xf numFmtId="0" fontId="8" fillId="0" borderId="3" xfId="0" applyFont="1" applyBorder="1" applyAlignment="1">
      <alignment horizontal="center"/>
    </xf>
    <xf numFmtId="166" fontId="18" fillId="4" borderId="0" xfId="1" applyNumberFormat="1" applyFont="1" applyFill="1" applyBorder="1"/>
    <xf numFmtId="166" fontId="18" fillId="0" borderId="0" xfId="1" applyNumberFormat="1" applyFont="1" applyFill="1" applyBorder="1"/>
    <xf numFmtId="166" fontId="18" fillId="4" borderId="0" xfId="1" applyNumberFormat="1" applyFont="1" applyFill="1"/>
    <xf numFmtId="166" fontId="18" fillId="4" borderId="1" xfId="1" applyNumberFormat="1" applyFont="1" applyFill="1" applyBorder="1"/>
    <xf numFmtId="166" fontId="18" fillId="0" borderId="1" xfId="1" applyNumberFormat="1" applyFont="1" applyFill="1" applyBorder="1"/>
    <xf numFmtId="166" fontId="18" fillId="4" borderId="0" xfId="1" applyNumberFormat="1" applyFont="1" applyFill="1" applyBorder="1" applyAlignment="1">
      <alignment horizontal="right"/>
    </xf>
    <xf numFmtId="166" fontId="18" fillId="0" borderId="0" xfId="1" applyNumberFormat="1" applyFont="1" applyFill="1" applyBorder="1" applyAlignment="1">
      <alignment horizontal="right"/>
    </xf>
    <xf numFmtId="166" fontId="8" fillId="4" borderId="2" xfId="1" applyNumberFormat="1" applyFont="1" applyFill="1" applyBorder="1"/>
    <xf numFmtId="166" fontId="8" fillId="0" borderId="2" xfId="1" applyNumberFormat="1" applyFont="1" applyFill="1" applyBorder="1"/>
    <xf numFmtId="166" fontId="8" fillId="0" borderId="0" xfId="1" applyNumberFormat="1" applyFont="1" applyFill="1" applyBorder="1"/>
    <xf numFmtId="0" fontId="8" fillId="3" borderId="0" xfId="0" applyFont="1" applyFill="1"/>
    <xf numFmtId="0" fontId="8" fillId="3" borderId="3" xfId="0" applyFont="1" applyFill="1" applyBorder="1" applyAlignment="1">
      <alignment horizontal="center"/>
    </xf>
    <xf numFmtId="165" fontId="18" fillId="0" borderId="0" xfId="2" applyNumberFormat="1" applyFont="1" applyFill="1" applyBorder="1" applyAlignment="1"/>
    <xf numFmtId="165" fontId="18" fillId="0" borderId="1" xfId="2" applyNumberFormat="1" applyFont="1" applyFill="1" applyBorder="1" applyAlignment="1"/>
    <xf numFmtId="165" fontId="18" fillId="0" borderId="0" xfId="2" applyNumberFormat="1" applyFont="1" applyFill="1" applyAlignment="1"/>
    <xf numFmtId="165" fontId="18" fillId="0" borderId="0" xfId="2" applyNumberFormat="1" applyFont="1" applyFill="1" applyBorder="1" applyAlignment="1">
      <alignment horizontal="right"/>
    </xf>
    <xf numFmtId="165" fontId="8" fillId="3" borderId="0" xfId="2" applyNumberFormat="1" applyFont="1" applyFill="1"/>
    <xf numFmtId="165" fontId="8" fillId="3" borderId="0" xfId="2" applyNumberFormat="1" applyFont="1" applyFill="1" applyBorder="1" applyAlignment="1"/>
    <xf numFmtId="165" fontId="8" fillId="3" borderId="0" xfId="2" applyNumberFormat="1" applyFont="1" applyFill="1" applyAlignment="1"/>
    <xf numFmtId="165" fontId="8" fillId="0" borderId="0" xfId="2" applyNumberFormat="1" applyFont="1" applyFill="1" applyAlignment="1"/>
    <xf numFmtId="43" fontId="18" fillId="0" borderId="0" xfId="1" applyFont="1"/>
    <xf numFmtId="166" fontId="18" fillId="0" borderId="1" xfId="0" applyNumberFormat="1" applyFont="1" applyBorder="1"/>
    <xf numFmtId="168" fontId="18" fillId="0" borderId="0" xfId="0" applyNumberFormat="1" applyFont="1"/>
    <xf numFmtId="0" fontId="9" fillId="20" borderId="0" xfId="0" applyFont="1" applyFill="1"/>
    <xf numFmtId="14" fontId="11" fillId="20" borderId="0" xfId="0" applyNumberFormat="1" applyFont="1" applyFill="1" applyAlignment="1">
      <alignment horizontal="center"/>
    </xf>
    <xf numFmtId="9" fontId="18" fillId="0" borderId="0" xfId="2" applyFont="1"/>
    <xf numFmtId="166" fontId="8" fillId="3" borderId="2" xfId="0" applyNumberFormat="1" applyFont="1" applyFill="1" applyBorder="1"/>
    <xf numFmtId="0" fontId="5" fillId="0" borderId="0" xfId="3" applyFont="1"/>
    <xf numFmtId="0" fontId="19" fillId="0" borderId="0" xfId="3" applyFont="1"/>
    <xf numFmtId="0" fontId="20" fillId="0" borderId="0" xfId="3" applyFont="1"/>
    <xf numFmtId="0" fontId="18" fillId="0" borderId="5" xfId="3" applyFont="1" applyBorder="1"/>
    <xf numFmtId="0" fontId="18" fillId="0" borderId="10" xfId="3" applyFont="1" applyBorder="1" applyAlignment="1">
      <alignment horizontal="center"/>
    </xf>
    <xf numFmtId="164" fontId="18" fillId="4" borderId="0" xfId="4" applyNumberFormat="1" applyFont="1" applyFill="1" applyBorder="1"/>
    <xf numFmtId="165" fontId="18" fillId="4" borderId="0" xfId="5" applyNumberFormat="1" applyFont="1" applyFill="1" applyBorder="1"/>
    <xf numFmtId="37" fontId="18" fillId="4" borderId="0" xfId="4" applyNumberFormat="1" applyFont="1" applyFill="1" applyBorder="1"/>
    <xf numFmtId="164" fontId="18" fillId="18" borderId="0" xfId="4" applyNumberFormat="1" applyFont="1" applyFill="1" applyBorder="1"/>
    <xf numFmtId="165" fontId="18" fillId="18" borderId="0" xfId="5" applyNumberFormat="1" applyFont="1" applyFill="1" applyBorder="1"/>
    <xf numFmtId="37" fontId="18" fillId="18" borderId="11" xfId="4" applyNumberFormat="1" applyFont="1" applyFill="1" applyBorder="1"/>
    <xf numFmtId="165" fontId="5" fillId="0" borderId="0" xfId="2" applyNumberFormat="1" applyFont="1"/>
    <xf numFmtId="43" fontId="5" fillId="0" borderId="0" xfId="1" applyFont="1"/>
    <xf numFmtId="43" fontId="5" fillId="0" borderId="0" xfId="3" applyNumberFormat="1" applyFont="1"/>
    <xf numFmtId="165" fontId="5" fillId="0" borderId="0" xfId="3" applyNumberFormat="1" applyFont="1"/>
    <xf numFmtId="0" fontId="18" fillId="0" borderId="0" xfId="3" applyFont="1" applyAlignment="1">
      <alignment horizontal="center"/>
    </xf>
    <xf numFmtId="0" fontId="18" fillId="0" borderId="0" xfId="3" applyFont="1"/>
    <xf numFmtId="164" fontId="18" fillId="0" borderId="0" xfId="4" applyNumberFormat="1" applyFont="1" applyFill="1" applyBorder="1"/>
    <xf numFmtId="165" fontId="18" fillId="0" borderId="0" xfId="5" applyNumberFormat="1" applyFont="1" applyFill="1" applyBorder="1"/>
    <xf numFmtId="0" fontId="8" fillId="0" borderId="8" xfId="3" applyFont="1" applyBorder="1" applyAlignment="1">
      <alignment horizontal="center" vertical="center"/>
    </xf>
    <xf numFmtId="164" fontId="4" fillId="4" borderId="3" xfId="4" applyNumberFormat="1" applyFont="1" applyFill="1" applyBorder="1" applyAlignment="1">
      <alignment horizontal="center" wrapText="1"/>
    </xf>
    <xf numFmtId="165" fontId="4" fillId="4" borderId="3" xfId="5" applyNumberFormat="1" applyFont="1" applyFill="1" applyBorder="1" applyAlignment="1">
      <alignment horizontal="center" wrapText="1"/>
    </xf>
    <xf numFmtId="164" fontId="8" fillId="18" borderId="3" xfId="4" applyNumberFormat="1" applyFont="1" applyFill="1" applyBorder="1" applyAlignment="1">
      <alignment horizontal="center" wrapText="1"/>
    </xf>
    <xf numFmtId="165" fontId="8" fillId="18" borderId="3" xfId="5" applyNumberFormat="1" applyFont="1" applyFill="1" applyBorder="1" applyAlignment="1">
      <alignment horizontal="center" wrapText="1"/>
    </xf>
    <xf numFmtId="164" fontId="8" fillId="18" borderId="9" xfId="4" applyNumberFormat="1" applyFont="1" applyFill="1" applyBorder="1" applyAlignment="1">
      <alignment horizontal="center" wrapText="1"/>
    </xf>
    <xf numFmtId="0" fontId="22" fillId="0" borderId="0" xfId="3" applyFont="1"/>
    <xf numFmtId="14" fontId="8" fillId="3" borderId="3" xfId="0" applyNumberFormat="1" applyFont="1" applyFill="1" applyBorder="1" applyAlignment="1">
      <alignment horizontal="center"/>
    </xf>
    <xf numFmtId="165" fontId="8" fillId="0" borderId="1" xfId="2" applyNumberFormat="1" applyFont="1" applyBorder="1"/>
    <xf numFmtId="165" fontId="8" fillId="0" borderId="2" xfId="2" applyNumberFormat="1" applyFont="1" applyBorder="1"/>
    <xf numFmtId="0" fontId="10" fillId="20" borderId="3" xfId="0" applyFont="1" applyFill="1" applyBorder="1"/>
    <xf numFmtId="14" fontId="8" fillId="20" borderId="3" xfId="0" applyNumberFormat="1" applyFont="1" applyFill="1" applyBorder="1" applyAlignment="1">
      <alignment horizontal="center"/>
    </xf>
    <xf numFmtId="0" fontId="8" fillId="20" borderId="0" xfId="0" applyFont="1" applyFill="1"/>
    <xf numFmtId="0" fontId="8" fillId="20" borderId="3" xfId="0" applyFont="1" applyFill="1" applyBorder="1"/>
    <xf numFmtId="165" fontId="10" fillId="0" borderId="0" xfId="2" applyNumberFormat="1" applyFont="1"/>
    <xf numFmtId="165" fontId="10" fillId="0" borderId="24" xfId="2" applyNumberFormat="1" applyFont="1" applyBorder="1"/>
    <xf numFmtId="168" fontId="7" fillId="0" borderId="0" xfId="0" applyNumberFormat="1" applyFont="1"/>
    <xf numFmtId="0" fontId="11" fillId="2" borderId="0" xfId="0" applyFont="1" applyFill="1"/>
    <xf numFmtId="166" fontId="11" fillId="2" borderId="0" xfId="1" applyNumberFormat="1" applyFont="1" applyFill="1"/>
    <xf numFmtId="166" fontId="7" fillId="0" borderId="25" xfId="1" applyNumberFormat="1" applyFont="1" applyBorder="1"/>
    <xf numFmtId="166" fontId="7" fillId="0" borderId="24" xfId="1" applyNumberFormat="1" applyFont="1" applyBorder="1"/>
    <xf numFmtId="166" fontId="11" fillId="0" borderId="26" xfId="1" applyNumberFormat="1" applyFont="1" applyBorder="1"/>
    <xf numFmtId="165" fontId="18" fillId="0" borderId="3" xfId="2" applyNumberFormat="1" applyFont="1" applyBorder="1"/>
    <xf numFmtId="165" fontId="18" fillId="0" borderId="1" xfId="2" applyNumberFormat="1" applyFont="1" applyBorder="1"/>
    <xf numFmtId="0" fontId="18" fillId="0" borderId="27" xfId="0" applyFont="1" applyBorder="1"/>
    <xf numFmtId="165" fontId="18" fillId="0" borderId="0" xfId="2" applyNumberFormat="1" applyFont="1" applyAlignment="1">
      <alignment horizontal="right"/>
    </xf>
    <xf numFmtId="165" fontId="8" fillId="0" borderId="24" xfId="2" applyNumberFormat="1" applyFont="1" applyBorder="1"/>
    <xf numFmtId="164" fontId="18" fillId="0" borderId="0" xfId="1" applyNumberFormat="1" applyFont="1" applyAlignment="1">
      <alignment horizontal="right"/>
    </xf>
    <xf numFmtId="0" fontId="18" fillId="0" borderId="0" xfId="0" applyFont="1" applyAlignment="1">
      <alignment wrapText="1"/>
    </xf>
    <xf numFmtId="166" fontId="8" fillId="20" borderId="3" xfId="1" applyNumberFormat="1" applyFont="1" applyFill="1" applyBorder="1" applyAlignment="1">
      <alignment horizontal="center"/>
    </xf>
    <xf numFmtId="166" fontId="8" fillId="20" borderId="28" xfId="1" applyNumberFormat="1" applyFont="1" applyFill="1" applyBorder="1" applyAlignment="1">
      <alignment horizontal="center"/>
    </xf>
    <xf numFmtId="166" fontId="8" fillId="20" borderId="29" xfId="1" applyNumberFormat="1" applyFont="1" applyFill="1" applyBorder="1" applyAlignment="1">
      <alignment horizontal="center"/>
    </xf>
    <xf numFmtId="166" fontId="18" fillId="0" borderId="28" xfId="1" applyNumberFormat="1" applyFont="1" applyBorder="1"/>
    <xf numFmtId="166" fontId="8" fillId="0" borderId="28" xfId="1" applyNumberFormat="1" applyFont="1" applyBorder="1"/>
    <xf numFmtId="166" fontId="8" fillId="0" borderId="30" xfId="1" applyNumberFormat="1" applyFont="1" applyBorder="1"/>
    <xf numFmtId="166" fontId="8" fillId="0" borderId="31" xfId="1" applyNumberFormat="1" applyFont="1" applyBorder="1"/>
    <xf numFmtId="166" fontId="8" fillId="0" borderId="0" xfId="1" applyNumberFormat="1" applyFont="1" applyFill="1" applyBorder="1" applyAlignment="1">
      <alignment horizontal="center"/>
    </xf>
    <xf numFmtId="166" fontId="8" fillId="0" borderId="2" xfId="0" applyNumberFormat="1" applyFont="1" applyBorder="1"/>
    <xf numFmtId="166" fontId="18" fillId="0" borderId="27" xfId="1" applyNumberFormat="1" applyFont="1" applyBorder="1"/>
    <xf numFmtId="165" fontId="18" fillId="0" borderId="0" xfId="0" applyNumberFormat="1" applyFont="1"/>
    <xf numFmtId="169" fontId="8" fillId="0" borderId="0" xfId="0" applyNumberFormat="1" applyFont="1"/>
    <xf numFmtId="166" fontId="8" fillId="0" borderId="0" xfId="1" applyNumberFormat="1" applyFont="1" applyFill="1"/>
    <xf numFmtId="14" fontId="8" fillId="20" borderId="0" xfId="0" applyNumberFormat="1" applyFont="1" applyFill="1" applyAlignment="1">
      <alignment horizontal="center"/>
    </xf>
    <xf numFmtId="14" fontId="8" fillId="20" borderId="24" xfId="0" applyNumberFormat="1" applyFont="1" applyFill="1" applyBorder="1" applyAlignment="1">
      <alignment horizontal="center"/>
    </xf>
    <xf numFmtId="0" fontId="8" fillId="20" borderId="3" xfId="0" applyFont="1" applyFill="1" applyBorder="1" applyAlignment="1">
      <alignment horizontal="center"/>
    </xf>
    <xf numFmtId="166" fontId="8" fillId="0" borderId="0" xfId="0" applyNumberFormat="1" applyFont="1"/>
    <xf numFmtId="166" fontId="8" fillId="0" borderId="1" xfId="0" applyNumberFormat="1" applyFont="1" applyBorder="1"/>
    <xf numFmtId="166" fontId="8" fillId="0" borderId="24" xfId="0" applyNumberFormat="1" applyFont="1" applyBorder="1"/>
    <xf numFmtId="166" fontId="18" fillId="0" borderId="24" xfId="0" applyNumberFormat="1" applyFont="1" applyBorder="1"/>
    <xf numFmtId="166" fontId="8" fillId="0" borderId="25" xfId="0" applyNumberFormat="1" applyFont="1" applyBorder="1"/>
    <xf numFmtId="166" fontId="18" fillId="0" borderId="25" xfId="0" applyNumberFormat="1" applyFont="1" applyBorder="1"/>
    <xf numFmtId="166" fontId="8" fillId="0" borderId="26" xfId="0" applyNumberFormat="1" applyFont="1" applyBorder="1"/>
    <xf numFmtId="0" fontId="8" fillId="0" borderId="0" xfId="0" applyFont="1" applyAlignment="1">
      <alignment wrapText="1"/>
    </xf>
    <xf numFmtId="166" fontId="8" fillId="0" borderId="0" xfId="1" applyNumberFormat="1" applyFont="1" applyAlignment="1">
      <alignment vertical="center"/>
    </xf>
    <xf numFmtId="166" fontId="8" fillId="0" borderId="24" xfId="1" applyNumberFormat="1" applyFont="1" applyBorder="1" applyAlignment="1">
      <alignment vertical="center"/>
    </xf>
    <xf numFmtId="166" fontId="11" fillId="0" borderId="0" xfId="0" applyNumberFormat="1" applyFont="1"/>
    <xf numFmtId="165" fontId="11" fillId="0" borderId="0" xfId="2" applyNumberFormat="1" applyFont="1" applyBorder="1"/>
    <xf numFmtId="0" fontId="10" fillId="20" borderId="0" xfId="0" applyFont="1" applyFill="1" applyAlignment="1">
      <alignment horizontal="left" vertical="center"/>
    </xf>
    <xf numFmtId="0" fontId="8" fillId="20" borderId="0" xfId="0" applyFont="1" applyFill="1" applyAlignment="1">
      <alignment horizontal="center"/>
    </xf>
    <xf numFmtId="0" fontId="8" fillId="20" borderId="24" xfId="0" applyFont="1" applyFill="1" applyBorder="1" applyAlignment="1">
      <alignment horizontal="center"/>
    </xf>
    <xf numFmtId="166" fontId="10" fillId="0" borderId="0" xfId="1" applyNumberFormat="1" applyFont="1" applyAlignment="1">
      <alignment horizontal="center"/>
    </xf>
    <xf numFmtId="166" fontId="10" fillId="0" borderId="24" xfId="1" applyNumberFormat="1" applyFont="1" applyBorder="1" applyAlignment="1">
      <alignment horizontal="center"/>
    </xf>
    <xf numFmtId="0" fontId="8" fillId="3" borderId="28" xfId="0" applyFont="1" applyFill="1" applyBorder="1" applyAlignment="1">
      <alignment horizontal="center"/>
    </xf>
    <xf numFmtId="0" fontId="8" fillId="3" borderId="0" xfId="0" applyFont="1" applyFill="1" applyAlignment="1">
      <alignment horizontal="center"/>
    </xf>
    <xf numFmtId="165" fontId="8" fillId="0" borderId="0" xfId="2" applyNumberFormat="1" applyFont="1" applyFill="1" applyBorder="1" applyAlignment="1">
      <alignment horizontal="center"/>
    </xf>
    <xf numFmtId="0" fontId="8" fillId="0" borderId="0" xfId="0" applyFont="1" applyAlignment="1">
      <alignment horizontal="center"/>
    </xf>
    <xf numFmtId="0" fontId="8" fillId="4" borderId="0" xfId="0" applyFont="1" applyFill="1" applyAlignment="1">
      <alignment horizontal="center"/>
    </xf>
    <xf numFmtId="166" fontId="10" fillId="19" borderId="0" xfId="1" applyNumberFormat="1" applyFont="1" applyFill="1" applyAlignment="1">
      <alignment horizontal="center"/>
    </xf>
    <xf numFmtId="165" fontId="8" fillId="0" borderId="1" xfId="2" applyNumberFormat="1" applyFont="1" applyBorder="1" applyAlignment="1">
      <alignment horizontal="center" vertical="center"/>
    </xf>
    <xf numFmtId="165" fontId="8" fillId="0" borderId="0" xfId="2" applyNumberFormat="1" applyFont="1" applyBorder="1" applyAlignment="1">
      <alignment horizontal="center" vertical="center"/>
    </xf>
    <xf numFmtId="165" fontId="18" fillId="0" borderId="0" xfId="2" applyNumberFormat="1" applyFont="1" applyAlignment="1">
      <alignment vertical="center"/>
    </xf>
    <xf numFmtId="166" fontId="18" fillId="0" borderId="0" xfId="1" applyNumberFormat="1" applyFont="1" applyAlignment="1">
      <alignment vertical="center"/>
    </xf>
    <xf numFmtId="165" fontId="4" fillId="0" borderId="19" xfId="5" applyNumberFormat="1" applyFont="1" applyBorder="1" applyAlignment="1"/>
    <xf numFmtId="165" fontId="4" fillId="0" borderId="21" xfId="5" applyNumberFormat="1" applyFont="1" applyBorder="1" applyAlignment="1"/>
    <xf numFmtId="0" fontId="4" fillId="21" borderId="6" xfId="3" applyFont="1" applyFill="1" applyBorder="1" applyAlignment="1">
      <alignment horizontal="center"/>
    </xf>
    <xf numFmtId="0" fontId="19" fillId="21" borderId="6" xfId="3" applyFont="1" applyFill="1" applyBorder="1" applyAlignment="1">
      <alignment horizontal="center"/>
    </xf>
    <xf numFmtId="0" fontId="8" fillId="3" borderId="6" xfId="3" applyFont="1" applyFill="1" applyBorder="1" applyAlignment="1">
      <alignment horizontal="center"/>
    </xf>
    <xf numFmtId="0" fontId="18" fillId="3" borderId="7" xfId="3" applyFont="1" applyFill="1" applyBorder="1"/>
    <xf numFmtId="0" fontId="18" fillId="0" borderId="15" xfId="3" applyFont="1" applyBorder="1"/>
    <xf numFmtId="0" fontId="5" fillId="0" borderId="16" xfId="3" applyFont="1" applyBorder="1"/>
    <xf numFmtId="0" fontId="5" fillId="0" borderId="17" xfId="3" applyFont="1" applyBorder="1"/>
    <xf numFmtId="0" fontId="18" fillId="0" borderId="12" xfId="3" applyFont="1" applyBorder="1" applyAlignment="1">
      <alignment vertical="top" wrapText="1"/>
    </xf>
    <xf numFmtId="0" fontId="5" fillId="0" borderId="13" xfId="3" applyFont="1" applyBorder="1" applyAlignment="1">
      <alignment vertical="top" wrapText="1"/>
    </xf>
    <xf numFmtId="0" fontId="5" fillId="0" borderId="14" xfId="3" applyFont="1" applyBorder="1" applyAlignment="1">
      <alignment vertical="top" wrapText="1"/>
    </xf>
    <xf numFmtId="0" fontId="4" fillId="0" borderId="12" xfId="3" applyFont="1" applyBorder="1"/>
    <xf numFmtId="0" fontId="4" fillId="0" borderId="13" xfId="3" applyFont="1" applyBorder="1"/>
    <xf numFmtId="0" fontId="21" fillId="0" borderId="23" xfId="3" applyFont="1" applyBorder="1"/>
    <xf numFmtId="165" fontId="4" fillId="0" borderId="13" xfId="3" applyNumberFormat="1" applyFont="1" applyBorder="1"/>
    <xf numFmtId="0" fontId="4" fillId="0" borderId="23" xfId="3" applyFont="1" applyBorder="1"/>
    <xf numFmtId="0" fontId="4" fillId="0" borderId="14" xfId="3" applyFont="1" applyBorder="1"/>
    <xf numFmtId="0" fontId="19" fillId="0" borderId="13" xfId="3" applyFont="1" applyBorder="1" applyAlignment="1">
      <alignment horizontal="left" vertical="top" wrapText="1"/>
    </xf>
    <xf numFmtId="0" fontId="22" fillId="3" borderId="0" xfId="3" applyFont="1" applyFill="1" applyAlignment="1">
      <alignment horizontal="left"/>
    </xf>
    <xf numFmtId="0" fontId="4" fillId="0" borderId="8" xfId="3" applyFont="1" applyBorder="1"/>
    <xf numFmtId="0" fontId="21" fillId="0" borderId="3" xfId="3" applyFont="1" applyBorder="1"/>
    <xf numFmtId="0" fontId="21" fillId="0" borderId="22" xfId="3" applyFont="1" applyBorder="1"/>
    <xf numFmtId="165" fontId="4" fillId="0" borderId="3" xfId="3" applyNumberFormat="1" applyFont="1" applyBorder="1"/>
    <xf numFmtId="0" fontId="4" fillId="0" borderId="22" xfId="3" applyFont="1" applyBorder="1"/>
    <xf numFmtId="0" fontId="4" fillId="0" borderId="9" xfId="3" applyFont="1" applyBorder="1"/>
    <xf numFmtId="0" fontId="4" fillId="0" borderId="3" xfId="3" applyFont="1" applyBorder="1"/>
    <xf numFmtId="0" fontId="4" fillId="0" borderId="5" xfId="3" applyFont="1" applyBorder="1"/>
    <xf numFmtId="0" fontId="21" fillId="0" borderId="6" xfId="3" applyFont="1" applyBorder="1"/>
    <xf numFmtId="0" fontId="4" fillId="0" borderId="6" xfId="3" applyFont="1" applyBorder="1" applyAlignment="1">
      <alignment horizontal="center"/>
    </xf>
    <xf numFmtId="0" fontId="4" fillId="0" borderId="7" xfId="3" applyFont="1" applyBorder="1" applyAlignment="1">
      <alignment horizontal="center"/>
    </xf>
    <xf numFmtId="0" fontId="4" fillId="0" borderId="18" xfId="3" applyFont="1" applyBorder="1"/>
    <xf numFmtId="0" fontId="4" fillId="0" borderId="19" xfId="3" applyFont="1" applyBorder="1"/>
    <xf numFmtId="0" fontId="21" fillId="0" borderId="19" xfId="3" applyFont="1" applyBorder="1"/>
    <xf numFmtId="0" fontId="21" fillId="0" borderId="20" xfId="3" applyFont="1" applyBorder="1"/>
    <xf numFmtId="165" fontId="4" fillId="0" borderId="20" xfId="5" applyNumberFormat="1" applyFont="1" applyBorder="1" applyAlignment="1"/>
    <xf numFmtId="0" fontId="8" fillId="3" borderId="0" xfId="0" quotePrefix="1" applyFont="1" applyFill="1" applyAlignment="1">
      <alignment horizontal="center"/>
    </xf>
    <xf numFmtId="0" fontId="8" fillId="20" borderId="0" xfId="0" quotePrefix="1" applyFont="1" applyFill="1" applyAlignment="1">
      <alignment horizontal="center"/>
    </xf>
    <xf numFmtId="0" fontId="10" fillId="3" borderId="0" xfId="0" applyFont="1" applyFill="1" applyAlignment="1">
      <alignment horizontal="left" vertical="center"/>
    </xf>
    <xf numFmtId="0" fontId="10" fillId="3" borderId="3" xfId="0" applyFont="1" applyFill="1" applyBorder="1" applyAlignment="1">
      <alignment horizontal="left" vertical="center"/>
    </xf>
    <xf numFmtId="0" fontId="8" fillId="3" borderId="0" xfId="0" applyFont="1" applyFill="1" applyBorder="1" applyAlignment="1">
      <alignment horizontal="center"/>
    </xf>
  </cellXfs>
  <cellStyles count="40">
    <cellStyle name="20% - Accent1 2" xfId="6" xr:uid="{00000000-0005-0000-0000-000000000000}"/>
    <cellStyle name="20% - Accent2 2" xfId="7" xr:uid="{00000000-0005-0000-0000-000001000000}"/>
    <cellStyle name="20% - Accent3 2" xfId="8" xr:uid="{00000000-0005-0000-0000-000002000000}"/>
    <cellStyle name="20% - Accent4 2" xfId="9" xr:uid="{00000000-0005-0000-0000-000003000000}"/>
    <cellStyle name="20% - Accent5 2" xfId="10" xr:uid="{00000000-0005-0000-0000-000004000000}"/>
    <cellStyle name="20% - Accent6 2" xfId="11" xr:uid="{00000000-0005-0000-0000-000005000000}"/>
    <cellStyle name="40% - Accent1 2" xfId="12" xr:uid="{00000000-0005-0000-0000-000006000000}"/>
    <cellStyle name="40% - Accent2 2" xfId="13" xr:uid="{00000000-0005-0000-0000-000007000000}"/>
    <cellStyle name="40% - Accent3 2" xfId="14" xr:uid="{00000000-0005-0000-0000-000008000000}"/>
    <cellStyle name="40% - Accent4 2" xfId="15" xr:uid="{00000000-0005-0000-0000-000009000000}"/>
    <cellStyle name="40% - Accent5 2" xfId="16" xr:uid="{00000000-0005-0000-0000-00000A000000}"/>
    <cellStyle name="40% - Accent6 2" xfId="17" xr:uid="{00000000-0005-0000-0000-00000B000000}"/>
    <cellStyle name="Comma" xfId="1" builtinId="3"/>
    <cellStyle name="Comma 2" xfId="4" xr:uid="{00000000-0005-0000-0000-00000D000000}"/>
    <cellStyle name="Comma 2 2" xfId="18" xr:uid="{00000000-0005-0000-0000-00000E000000}"/>
    <cellStyle name="Comma 2 3" xfId="19" xr:uid="{00000000-0005-0000-0000-00000F000000}"/>
    <cellStyle name="Comma 3" xfId="20" xr:uid="{00000000-0005-0000-0000-000010000000}"/>
    <cellStyle name="Comma 4" xfId="21" xr:uid="{00000000-0005-0000-0000-000011000000}"/>
    <cellStyle name="Comma 5" xfId="22" xr:uid="{00000000-0005-0000-0000-000012000000}"/>
    <cellStyle name="Normal" xfId="0" builtinId="0"/>
    <cellStyle name="Normal 2" xfId="3" xr:uid="{00000000-0005-0000-0000-000014000000}"/>
    <cellStyle name="Normal 2 2" xfId="23" xr:uid="{00000000-0005-0000-0000-000015000000}"/>
    <cellStyle name="Normal 2 2 2" xfId="24" xr:uid="{00000000-0005-0000-0000-000016000000}"/>
    <cellStyle name="Normal 2 2 2 2" xfId="25" xr:uid="{00000000-0005-0000-0000-000017000000}"/>
    <cellStyle name="Normal 2 3" xfId="26" xr:uid="{00000000-0005-0000-0000-000018000000}"/>
    <cellStyle name="Normal 2 3 2" xfId="27" xr:uid="{00000000-0005-0000-0000-000019000000}"/>
    <cellStyle name="Normal 2 4" xfId="28" xr:uid="{00000000-0005-0000-0000-00001A000000}"/>
    <cellStyle name="Normal 2 5" xfId="39" xr:uid="{2A551E3C-3E6C-EC4E-8574-D832EBA90984}"/>
    <cellStyle name="Normal 3" xfId="29" xr:uid="{00000000-0005-0000-0000-00001B000000}"/>
    <cellStyle name="Normal 3 2" xfId="30" xr:uid="{00000000-0005-0000-0000-00001C000000}"/>
    <cellStyle name="Normal 3 3" xfId="31" xr:uid="{00000000-0005-0000-0000-00001D000000}"/>
    <cellStyle name="Normal 4" xfId="32" xr:uid="{00000000-0005-0000-0000-00001E000000}"/>
    <cellStyle name="Normal 4 2" xfId="33" xr:uid="{00000000-0005-0000-0000-00001F000000}"/>
    <cellStyle name="Normal 5" xfId="34" xr:uid="{00000000-0005-0000-0000-000020000000}"/>
    <cellStyle name="Normal 6" xfId="35" xr:uid="{00000000-0005-0000-0000-000021000000}"/>
    <cellStyle name="Note 2" xfId="36" xr:uid="{00000000-0005-0000-0000-000022000000}"/>
    <cellStyle name="Note 2 2" xfId="37" xr:uid="{00000000-0005-0000-0000-000023000000}"/>
    <cellStyle name="Note 3" xfId="38" xr:uid="{00000000-0005-0000-0000-000024000000}"/>
    <cellStyle name="Percent" xfId="2" builtinId="5"/>
    <cellStyle name="Percent 2" xfId="5" xr:uid="{00000000-0005-0000-0000-00002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b="1"/>
              <a:t>Combined Ratio</a:t>
            </a:r>
          </a:p>
        </c:rich>
      </c:tx>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v>GEICO</c:v>
          </c:tx>
          <c:spPr>
            <a:ln w="28575" cap="rnd">
              <a:solidFill>
                <a:srgbClr val="00B050"/>
              </a:solidFill>
              <a:round/>
            </a:ln>
            <a:effectLst/>
          </c:spPr>
          <c:marker>
            <c:symbol val="none"/>
          </c:marker>
          <c:cat>
            <c:numRef>
              <c:f>'GEICO vs. Progressive'!$A$6:$A$26</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'GEICO vs. Progressive'!$E$6:$E$26</c:f>
              <c:numCache>
                <c:formatCode>0.0%</c:formatCode>
                <c:ptCount val="21"/>
                <c:pt idx="0">
                  <c:v>0.96399999999999997</c:v>
                </c:pt>
                <c:pt idx="1">
                  <c:v>0.93799999999999994</c:v>
                </c:pt>
                <c:pt idx="2">
                  <c:v>0.94199999999999995</c:v>
                </c:pt>
                <c:pt idx="3">
                  <c:v>0.89100000000000001</c:v>
                </c:pt>
                <c:pt idx="4">
                  <c:v>0.879</c:v>
                </c:pt>
                <c:pt idx="5">
                  <c:v>0.88100000000000001</c:v>
                </c:pt>
                <c:pt idx="6">
                  <c:v>0.90600000000000003</c:v>
                </c:pt>
                <c:pt idx="7">
                  <c:v>0.92700000000000005</c:v>
                </c:pt>
                <c:pt idx="8">
                  <c:v>0.95199999999999996</c:v>
                </c:pt>
                <c:pt idx="9">
                  <c:v>0.92200000000000004</c:v>
                </c:pt>
                <c:pt idx="10">
                  <c:v>0.96299999999999997</c:v>
                </c:pt>
                <c:pt idx="11">
                  <c:v>0.95899999999999996</c:v>
                </c:pt>
                <c:pt idx="12">
                  <c:v>0.93899999999999995</c:v>
                </c:pt>
                <c:pt idx="13">
                  <c:v>0.94299999999999995</c:v>
                </c:pt>
                <c:pt idx="14">
                  <c:v>0.98</c:v>
                </c:pt>
                <c:pt idx="15">
                  <c:v>0.98199999999999998</c:v>
                </c:pt>
                <c:pt idx="16">
                  <c:v>1.0109999999999999</c:v>
                </c:pt>
                <c:pt idx="17">
                  <c:v>0.92700000000000005</c:v>
                </c:pt>
                <c:pt idx="18">
                  <c:v>0.95799999999999996</c:v>
                </c:pt>
                <c:pt idx="19">
                  <c:v>0.90200000000000002</c:v>
                </c:pt>
                <c:pt idx="20">
                  <c:v>0.96699999999999997</c:v>
                </c:pt>
              </c:numCache>
            </c:numRef>
          </c:val>
          <c:smooth val="0"/>
          <c:extLst>
            <c:ext xmlns:c16="http://schemas.microsoft.com/office/drawing/2014/chart" uri="{C3380CC4-5D6E-409C-BE32-E72D297353CC}">
              <c16:uniqueId val="{00000001-8CD5-3043-BC7C-A3A90261E351}"/>
            </c:ext>
          </c:extLst>
        </c:ser>
        <c:ser>
          <c:idx val="2"/>
          <c:order val="1"/>
          <c:tx>
            <c:v>Progressive</c:v>
          </c:tx>
          <c:spPr>
            <a:ln w="28575" cap="rnd">
              <a:solidFill>
                <a:schemeClr val="tx2"/>
              </a:solidFill>
              <a:round/>
            </a:ln>
            <a:effectLst/>
          </c:spPr>
          <c:marker>
            <c:symbol val="none"/>
          </c:marker>
          <c:cat>
            <c:numRef>
              <c:f>'GEICO vs. Progressive'!$A$6:$A$26</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'GEICO vs. Progressive'!$J$6:$J$26</c:f>
              <c:numCache>
                <c:formatCode>0.0%</c:formatCode>
                <c:ptCount val="21"/>
                <c:pt idx="0">
                  <c:v>0.95199999999999996</c:v>
                </c:pt>
                <c:pt idx="1">
                  <c:v>0.92400000000000004</c:v>
                </c:pt>
                <c:pt idx="2">
                  <c:v>0.873</c:v>
                </c:pt>
                <c:pt idx="3">
                  <c:v>0.85099999999999998</c:v>
                </c:pt>
                <c:pt idx="4">
                  <c:v>0.88100000000000001</c:v>
                </c:pt>
                <c:pt idx="5">
                  <c:v>0.86699999999999999</c:v>
                </c:pt>
                <c:pt idx="6">
                  <c:v>0.92600000000000005</c:v>
                </c:pt>
                <c:pt idx="7">
                  <c:v>0.94599999999999995</c:v>
                </c:pt>
                <c:pt idx="8">
                  <c:v>0.91600000000000004</c:v>
                </c:pt>
                <c:pt idx="9">
                  <c:v>0.92400000000000004</c:v>
                </c:pt>
                <c:pt idx="10">
                  <c:v>0.93</c:v>
                </c:pt>
                <c:pt idx="11">
                  <c:v>0.95599999999999996</c:v>
                </c:pt>
                <c:pt idx="12">
                  <c:v>0.93500000000000005</c:v>
                </c:pt>
                <c:pt idx="13">
                  <c:v>0.92300000000000004</c:v>
                </c:pt>
                <c:pt idx="14">
                  <c:v>0.92500000000000004</c:v>
                </c:pt>
                <c:pt idx="15">
                  <c:v>0.95099999999999996</c:v>
                </c:pt>
                <c:pt idx="16">
                  <c:v>0.93400000000000005</c:v>
                </c:pt>
                <c:pt idx="17">
                  <c:v>0.90600000000000003</c:v>
                </c:pt>
                <c:pt idx="18">
                  <c:v>0.90900000000000003</c:v>
                </c:pt>
                <c:pt idx="19">
                  <c:v>0.877</c:v>
                </c:pt>
                <c:pt idx="20">
                  <c:v>0.95299999999999996</c:v>
                </c:pt>
              </c:numCache>
            </c:numRef>
          </c:val>
          <c:smooth val="0"/>
          <c:extLst>
            <c:ext xmlns:c16="http://schemas.microsoft.com/office/drawing/2014/chart" uri="{C3380CC4-5D6E-409C-BE32-E72D297353CC}">
              <c16:uniqueId val="{00000002-8CD5-3043-BC7C-A3A90261E351}"/>
            </c:ext>
          </c:extLst>
        </c:ser>
        <c:dLbls>
          <c:showLegendKey val="0"/>
          <c:showVal val="0"/>
          <c:showCatName val="0"/>
          <c:showSerName val="0"/>
          <c:showPercent val="0"/>
          <c:showBubbleSize val="0"/>
        </c:dLbls>
        <c:smooth val="0"/>
        <c:axId val="398132928"/>
        <c:axId val="374879776"/>
      </c:lineChart>
      <c:catAx>
        <c:axId val="398132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374879776"/>
        <c:crosses val="autoZero"/>
        <c:auto val="1"/>
        <c:lblAlgn val="ctr"/>
        <c:lblOffset val="100"/>
        <c:noMultiLvlLbl val="0"/>
      </c:catAx>
      <c:valAx>
        <c:axId val="374879776"/>
        <c:scaling>
          <c:orientation val="minMax"/>
          <c:min val="0.8"/>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39813292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b="1"/>
              <a:t>Loss Ratio</a:t>
            </a:r>
          </a:p>
        </c:rich>
      </c:tx>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v>GEICO</c:v>
          </c:tx>
          <c:spPr>
            <a:ln w="28575" cap="rnd">
              <a:solidFill>
                <a:srgbClr val="00B050"/>
              </a:solidFill>
              <a:round/>
            </a:ln>
            <a:effectLst/>
          </c:spPr>
          <c:marker>
            <c:symbol val="none"/>
          </c:marker>
          <c:cat>
            <c:numRef>
              <c:f>'GEICO vs. Progressive'!$A$6:$A$26</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'GEICO vs. Progressive'!$C$6:$C$26</c:f>
              <c:numCache>
                <c:formatCode>0.0%</c:formatCode>
                <c:ptCount val="21"/>
                <c:pt idx="0">
                  <c:v>0.79900000000000004</c:v>
                </c:pt>
                <c:pt idx="1">
                  <c:v>0.77</c:v>
                </c:pt>
                <c:pt idx="2">
                  <c:v>0.76500000000000001</c:v>
                </c:pt>
                <c:pt idx="3">
                  <c:v>0.71299999999999997</c:v>
                </c:pt>
                <c:pt idx="4">
                  <c:v>0.70599999999999996</c:v>
                </c:pt>
                <c:pt idx="5">
                  <c:v>0.70099999999999996</c:v>
                </c:pt>
                <c:pt idx="6">
                  <c:v>0.72199999999999998</c:v>
                </c:pt>
                <c:pt idx="7">
                  <c:v>0.748</c:v>
                </c:pt>
                <c:pt idx="8">
                  <c:v>0.77</c:v>
                </c:pt>
                <c:pt idx="9">
                  <c:v>0.74399999999999999</c:v>
                </c:pt>
                <c:pt idx="10">
                  <c:v>0.78200000000000003</c:v>
                </c:pt>
                <c:pt idx="11">
                  <c:v>0.75900000000000001</c:v>
                </c:pt>
                <c:pt idx="12">
                  <c:v>0.76700000000000002</c:v>
                </c:pt>
                <c:pt idx="13">
                  <c:v>0.77700000000000002</c:v>
                </c:pt>
                <c:pt idx="14">
                  <c:v>0.82099999999999995</c:v>
                </c:pt>
                <c:pt idx="15">
                  <c:v>0.82599999999999996</c:v>
                </c:pt>
                <c:pt idx="16">
                  <c:v>0.86599999999999999</c:v>
                </c:pt>
                <c:pt idx="17">
                  <c:v>0.78800000000000003</c:v>
                </c:pt>
                <c:pt idx="18">
                  <c:v>0.81299999999999994</c:v>
                </c:pt>
                <c:pt idx="19">
                  <c:v>0.74099999999999999</c:v>
                </c:pt>
                <c:pt idx="20">
                  <c:v>0.82199999999999995</c:v>
                </c:pt>
              </c:numCache>
            </c:numRef>
          </c:val>
          <c:smooth val="0"/>
          <c:extLst>
            <c:ext xmlns:c16="http://schemas.microsoft.com/office/drawing/2014/chart" uri="{C3380CC4-5D6E-409C-BE32-E72D297353CC}">
              <c16:uniqueId val="{00000000-7C12-044D-800C-9DA5210EDEDD}"/>
            </c:ext>
          </c:extLst>
        </c:ser>
        <c:ser>
          <c:idx val="2"/>
          <c:order val="1"/>
          <c:tx>
            <c:v>Progressive</c:v>
          </c:tx>
          <c:spPr>
            <a:ln w="28575" cap="rnd">
              <a:solidFill>
                <a:schemeClr val="tx2"/>
              </a:solidFill>
              <a:round/>
            </a:ln>
            <a:effectLst/>
          </c:spPr>
          <c:marker>
            <c:symbol val="none"/>
          </c:marker>
          <c:cat>
            <c:numRef>
              <c:f>'GEICO vs. Progressive'!$A$6:$A$26</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'GEICO vs. Progressive'!$H$6:$H$26</c:f>
              <c:numCache>
                <c:formatCode>0.0%</c:formatCode>
                <c:ptCount val="21"/>
                <c:pt idx="0">
                  <c:v>0.73499999999999999</c:v>
                </c:pt>
                <c:pt idx="1">
                  <c:v>0.70899999999999996</c:v>
                </c:pt>
                <c:pt idx="2">
                  <c:v>0.67400000000000004</c:v>
                </c:pt>
                <c:pt idx="3">
                  <c:v>0.65</c:v>
                </c:pt>
                <c:pt idx="4">
                  <c:v>0.68</c:v>
                </c:pt>
                <c:pt idx="5">
                  <c:v>0.66500000000000004</c:v>
                </c:pt>
                <c:pt idx="6">
                  <c:v>0.71499999999999997</c:v>
                </c:pt>
                <c:pt idx="7">
                  <c:v>0.73499999999999999</c:v>
                </c:pt>
                <c:pt idx="8">
                  <c:v>0.70699999999999996</c:v>
                </c:pt>
                <c:pt idx="9">
                  <c:v>0.70799999999999996</c:v>
                </c:pt>
                <c:pt idx="10">
                  <c:v>0.71399999999999997</c:v>
                </c:pt>
                <c:pt idx="11">
                  <c:v>0.746</c:v>
                </c:pt>
                <c:pt idx="12">
                  <c:v>0.72899999999999998</c:v>
                </c:pt>
                <c:pt idx="13">
                  <c:v>0.72299999999999998</c:v>
                </c:pt>
                <c:pt idx="14">
                  <c:v>0.72099999999999997</c:v>
                </c:pt>
                <c:pt idx="15">
                  <c:v>0.751</c:v>
                </c:pt>
                <c:pt idx="16">
                  <c:v>0.73099999999999998</c:v>
                </c:pt>
                <c:pt idx="17">
                  <c:v>0.70199999999999996</c:v>
                </c:pt>
                <c:pt idx="18">
                  <c:v>0.70399999999999996</c:v>
                </c:pt>
                <c:pt idx="19">
                  <c:v>0.64</c:v>
                </c:pt>
                <c:pt idx="20">
                  <c:v>0.75800000000000001</c:v>
                </c:pt>
              </c:numCache>
            </c:numRef>
          </c:val>
          <c:smooth val="0"/>
          <c:extLst>
            <c:ext xmlns:c16="http://schemas.microsoft.com/office/drawing/2014/chart" uri="{C3380CC4-5D6E-409C-BE32-E72D297353CC}">
              <c16:uniqueId val="{00000001-7C12-044D-800C-9DA5210EDEDD}"/>
            </c:ext>
          </c:extLst>
        </c:ser>
        <c:dLbls>
          <c:showLegendKey val="0"/>
          <c:showVal val="0"/>
          <c:showCatName val="0"/>
          <c:showSerName val="0"/>
          <c:showPercent val="0"/>
          <c:showBubbleSize val="0"/>
        </c:dLbls>
        <c:smooth val="0"/>
        <c:axId val="398132928"/>
        <c:axId val="374879776"/>
      </c:lineChart>
      <c:catAx>
        <c:axId val="398132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374879776"/>
        <c:crosses val="autoZero"/>
        <c:auto val="1"/>
        <c:lblAlgn val="ctr"/>
        <c:lblOffset val="100"/>
        <c:noMultiLvlLbl val="0"/>
      </c:catAx>
      <c:valAx>
        <c:axId val="374879776"/>
        <c:scaling>
          <c:orientation val="minMax"/>
          <c:max val="0.9"/>
          <c:min val="0.60000000000000009"/>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39813292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b="1"/>
              <a:t>Expense Ratio</a:t>
            </a:r>
          </a:p>
        </c:rich>
      </c:tx>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v>GEICO</c:v>
          </c:tx>
          <c:spPr>
            <a:ln w="28575" cap="rnd">
              <a:solidFill>
                <a:srgbClr val="00B050"/>
              </a:solidFill>
              <a:round/>
            </a:ln>
            <a:effectLst/>
          </c:spPr>
          <c:marker>
            <c:symbol val="none"/>
          </c:marker>
          <c:cat>
            <c:numRef>
              <c:f>'GEICO vs. Progressive'!$A$6:$A$26</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'GEICO vs. Progressive'!$D$6:$D$26</c:f>
              <c:numCache>
                <c:formatCode>0.0%</c:formatCode>
                <c:ptCount val="21"/>
                <c:pt idx="0">
                  <c:v>0.16500000000000001</c:v>
                </c:pt>
                <c:pt idx="1">
                  <c:v>0.16700000000000001</c:v>
                </c:pt>
                <c:pt idx="2">
                  <c:v>0.17699999999999999</c:v>
                </c:pt>
                <c:pt idx="3">
                  <c:v>0.17799999999999999</c:v>
                </c:pt>
                <c:pt idx="4">
                  <c:v>0.17299999999999999</c:v>
                </c:pt>
                <c:pt idx="5">
                  <c:v>0.18</c:v>
                </c:pt>
                <c:pt idx="6">
                  <c:v>0.184</c:v>
                </c:pt>
                <c:pt idx="7">
                  <c:v>0.17899999999999999</c:v>
                </c:pt>
                <c:pt idx="8">
                  <c:v>0.182</c:v>
                </c:pt>
                <c:pt idx="9">
                  <c:v>0.17799999999999999</c:v>
                </c:pt>
                <c:pt idx="10">
                  <c:v>0.18099999999999999</c:v>
                </c:pt>
                <c:pt idx="11">
                  <c:v>0.2</c:v>
                </c:pt>
                <c:pt idx="12">
                  <c:v>0.17199999999999999</c:v>
                </c:pt>
                <c:pt idx="13">
                  <c:v>0.16600000000000001</c:v>
                </c:pt>
                <c:pt idx="14">
                  <c:v>0.159</c:v>
                </c:pt>
                <c:pt idx="15">
                  <c:v>0.156</c:v>
                </c:pt>
                <c:pt idx="16">
                  <c:v>0.14499999999999999</c:v>
                </c:pt>
                <c:pt idx="17">
                  <c:v>0.13900000000000001</c:v>
                </c:pt>
                <c:pt idx="18">
                  <c:v>0.14499999999999999</c:v>
                </c:pt>
                <c:pt idx="19">
                  <c:v>0.161</c:v>
                </c:pt>
                <c:pt idx="20">
                  <c:v>0.14499999999999999</c:v>
                </c:pt>
              </c:numCache>
            </c:numRef>
          </c:val>
          <c:smooth val="0"/>
          <c:extLst>
            <c:ext xmlns:c16="http://schemas.microsoft.com/office/drawing/2014/chart" uri="{C3380CC4-5D6E-409C-BE32-E72D297353CC}">
              <c16:uniqueId val="{00000000-F288-EF44-8EF2-DCDD1039779F}"/>
            </c:ext>
          </c:extLst>
        </c:ser>
        <c:ser>
          <c:idx val="2"/>
          <c:order val="1"/>
          <c:tx>
            <c:v>Progressive</c:v>
          </c:tx>
          <c:spPr>
            <a:ln w="28575" cap="rnd">
              <a:solidFill>
                <a:schemeClr val="tx2"/>
              </a:solidFill>
              <a:round/>
            </a:ln>
            <a:effectLst/>
          </c:spPr>
          <c:marker>
            <c:symbol val="none"/>
          </c:marker>
          <c:cat>
            <c:numRef>
              <c:f>'GEICO vs. Progressive'!$A$6:$A$26</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'GEICO vs. Progressive'!$I$6:$I$26</c:f>
              <c:numCache>
                <c:formatCode>0.0%</c:formatCode>
                <c:ptCount val="21"/>
                <c:pt idx="0">
                  <c:v>0.217</c:v>
                </c:pt>
                <c:pt idx="1">
                  <c:v>0.215</c:v>
                </c:pt>
                <c:pt idx="2">
                  <c:v>0.19900000000000001</c:v>
                </c:pt>
                <c:pt idx="3">
                  <c:v>0.20200000000000001</c:v>
                </c:pt>
                <c:pt idx="4">
                  <c:v>0.20100000000000001</c:v>
                </c:pt>
                <c:pt idx="5">
                  <c:v>0.20100000000000001</c:v>
                </c:pt>
                <c:pt idx="6">
                  <c:v>0.21099999999999999</c:v>
                </c:pt>
                <c:pt idx="7">
                  <c:v>0.21099999999999999</c:v>
                </c:pt>
                <c:pt idx="8">
                  <c:v>0.20899999999999999</c:v>
                </c:pt>
                <c:pt idx="9">
                  <c:v>0.217</c:v>
                </c:pt>
                <c:pt idx="10">
                  <c:v>0.216</c:v>
                </c:pt>
                <c:pt idx="11">
                  <c:v>0.21</c:v>
                </c:pt>
                <c:pt idx="12">
                  <c:v>0.20499999999999999</c:v>
                </c:pt>
                <c:pt idx="13">
                  <c:v>0.2</c:v>
                </c:pt>
                <c:pt idx="14">
                  <c:v>0.20399999999999999</c:v>
                </c:pt>
                <c:pt idx="15">
                  <c:v>0.2</c:v>
                </c:pt>
                <c:pt idx="16">
                  <c:v>0.20300000000000001</c:v>
                </c:pt>
                <c:pt idx="17">
                  <c:v>0.20399999999999999</c:v>
                </c:pt>
                <c:pt idx="18">
                  <c:v>0.20499999999999999</c:v>
                </c:pt>
                <c:pt idx="19">
                  <c:v>0.23699999999999999</c:v>
                </c:pt>
                <c:pt idx="20">
                  <c:v>0.19600000000000001</c:v>
                </c:pt>
              </c:numCache>
            </c:numRef>
          </c:val>
          <c:smooth val="0"/>
          <c:extLst>
            <c:ext xmlns:c16="http://schemas.microsoft.com/office/drawing/2014/chart" uri="{C3380CC4-5D6E-409C-BE32-E72D297353CC}">
              <c16:uniqueId val="{00000001-F288-EF44-8EF2-DCDD1039779F}"/>
            </c:ext>
          </c:extLst>
        </c:ser>
        <c:dLbls>
          <c:showLegendKey val="0"/>
          <c:showVal val="0"/>
          <c:showCatName val="0"/>
          <c:showSerName val="0"/>
          <c:showPercent val="0"/>
          <c:showBubbleSize val="0"/>
        </c:dLbls>
        <c:smooth val="0"/>
        <c:axId val="398132928"/>
        <c:axId val="374879776"/>
      </c:lineChart>
      <c:catAx>
        <c:axId val="398132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374879776"/>
        <c:crosses val="autoZero"/>
        <c:auto val="1"/>
        <c:lblAlgn val="ctr"/>
        <c:lblOffset val="100"/>
        <c:noMultiLvlLbl val="0"/>
      </c:catAx>
      <c:valAx>
        <c:axId val="374879776"/>
        <c:scaling>
          <c:orientation val="minMax"/>
          <c:max val="0.26"/>
          <c:min val="0.1200000000000000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39813292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b="1"/>
              <a:t>Earned Premiums</a:t>
            </a:r>
            <a:endParaRPr lang="en-US" sz="1400" b="0" i="1"/>
          </a:p>
        </c:rich>
      </c:tx>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v>GEICO</c:v>
          </c:tx>
          <c:spPr>
            <a:ln w="28575" cap="rnd">
              <a:solidFill>
                <a:srgbClr val="00B050"/>
              </a:solidFill>
              <a:round/>
            </a:ln>
            <a:effectLst/>
          </c:spPr>
          <c:marker>
            <c:symbol val="none"/>
          </c:marker>
          <c:cat>
            <c:numRef>
              <c:f>'GEICO vs. Progressive'!$A$6:$A$26</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'GEICO vs. Progressive'!$B$6:$B$26</c:f>
              <c:numCache>
                <c:formatCode>_(* #,##0_);_(* \(#,##0\);_(* "-"??_);_(@_)</c:formatCode>
                <c:ptCount val="21"/>
                <c:pt idx="0">
                  <c:v>6060</c:v>
                </c:pt>
                <c:pt idx="1">
                  <c:v>6670</c:v>
                </c:pt>
                <c:pt idx="2">
                  <c:v>7784</c:v>
                </c:pt>
                <c:pt idx="3">
                  <c:v>8915</c:v>
                </c:pt>
                <c:pt idx="4">
                  <c:v>10101</c:v>
                </c:pt>
                <c:pt idx="5">
                  <c:v>11055</c:v>
                </c:pt>
                <c:pt idx="6">
                  <c:v>11806</c:v>
                </c:pt>
                <c:pt idx="7">
                  <c:v>12479</c:v>
                </c:pt>
                <c:pt idx="8">
                  <c:v>13576</c:v>
                </c:pt>
                <c:pt idx="9">
                  <c:v>14283</c:v>
                </c:pt>
                <c:pt idx="10">
                  <c:v>15363</c:v>
                </c:pt>
                <c:pt idx="11">
                  <c:v>16740</c:v>
                </c:pt>
                <c:pt idx="12">
                  <c:v>18572</c:v>
                </c:pt>
                <c:pt idx="13">
                  <c:v>20496</c:v>
                </c:pt>
                <c:pt idx="14">
                  <c:v>22718</c:v>
                </c:pt>
                <c:pt idx="15">
                  <c:v>25483</c:v>
                </c:pt>
                <c:pt idx="16">
                  <c:v>29441</c:v>
                </c:pt>
                <c:pt idx="17">
                  <c:v>33363</c:v>
                </c:pt>
                <c:pt idx="18">
                  <c:v>35572</c:v>
                </c:pt>
                <c:pt idx="19">
                  <c:v>35093</c:v>
                </c:pt>
                <c:pt idx="20">
                  <c:v>37706</c:v>
                </c:pt>
              </c:numCache>
            </c:numRef>
          </c:val>
          <c:smooth val="0"/>
          <c:extLst>
            <c:ext xmlns:c16="http://schemas.microsoft.com/office/drawing/2014/chart" uri="{C3380CC4-5D6E-409C-BE32-E72D297353CC}">
              <c16:uniqueId val="{00000000-A775-0149-BC62-7FAEC53DBE12}"/>
            </c:ext>
          </c:extLst>
        </c:ser>
        <c:ser>
          <c:idx val="2"/>
          <c:order val="1"/>
          <c:tx>
            <c:v>Progressive</c:v>
          </c:tx>
          <c:spPr>
            <a:ln w="28575" cap="rnd">
              <a:solidFill>
                <a:schemeClr val="tx2"/>
              </a:solidFill>
              <a:round/>
            </a:ln>
            <a:effectLst/>
          </c:spPr>
          <c:marker>
            <c:symbol val="none"/>
          </c:marker>
          <c:cat>
            <c:numRef>
              <c:f>'GEICO vs. Progressive'!$A$6:$A$26</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'GEICO vs. Progressive'!$G$6:$G$26</c:f>
              <c:numCache>
                <c:formatCode>_(* #,##0_);_(* \(#,##0\);_(* "-"??_);_(@_)</c:formatCode>
                <c:ptCount val="21"/>
                <c:pt idx="0">
                  <c:v>7161.8</c:v>
                </c:pt>
                <c:pt idx="1">
                  <c:v>8883.5</c:v>
                </c:pt>
                <c:pt idx="2">
                  <c:v>11341</c:v>
                </c:pt>
                <c:pt idx="3">
                  <c:v>13169.9</c:v>
                </c:pt>
                <c:pt idx="4">
                  <c:v>13764.4</c:v>
                </c:pt>
                <c:pt idx="5">
                  <c:v>14117.9</c:v>
                </c:pt>
                <c:pt idx="6">
                  <c:v>13877.4</c:v>
                </c:pt>
                <c:pt idx="7">
                  <c:v>13631.4</c:v>
                </c:pt>
                <c:pt idx="8">
                  <c:v>14012.8</c:v>
                </c:pt>
                <c:pt idx="9">
                  <c:v>14314.8</c:v>
                </c:pt>
                <c:pt idx="10">
                  <c:v>14902.8</c:v>
                </c:pt>
                <c:pt idx="11">
                  <c:v>16018</c:v>
                </c:pt>
                <c:pt idx="12">
                  <c:v>17103.400000000001</c:v>
                </c:pt>
                <c:pt idx="13">
                  <c:v>18398.5</c:v>
                </c:pt>
                <c:pt idx="14">
                  <c:v>19899.099999999999</c:v>
                </c:pt>
                <c:pt idx="15">
                  <c:v>22474</c:v>
                </c:pt>
                <c:pt idx="16">
                  <c:v>25729.9</c:v>
                </c:pt>
                <c:pt idx="17">
                  <c:v>30933.3</c:v>
                </c:pt>
                <c:pt idx="18">
                  <c:v>36192.400000000001</c:v>
                </c:pt>
                <c:pt idx="19">
                  <c:v>39261.599999999999</c:v>
                </c:pt>
                <c:pt idx="20">
                  <c:v>44368.7</c:v>
                </c:pt>
              </c:numCache>
            </c:numRef>
          </c:val>
          <c:smooth val="0"/>
          <c:extLst>
            <c:ext xmlns:c16="http://schemas.microsoft.com/office/drawing/2014/chart" uri="{C3380CC4-5D6E-409C-BE32-E72D297353CC}">
              <c16:uniqueId val="{00000001-A775-0149-BC62-7FAEC53DBE12}"/>
            </c:ext>
          </c:extLst>
        </c:ser>
        <c:dLbls>
          <c:showLegendKey val="0"/>
          <c:showVal val="0"/>
          <c:showCatName val="0"/>
          <c:showSerName val="0"/>
          <c:showPercent val="0"/>
          <c:showBubbleSize val="0"/>
        </c:dLbls>
        <c:smooth val="0"/>
        <c:axId val="398132928"/>
        <c:axId val="374879776"/>
      </c:lineChart>
      <c:catAx>
        <c:axId val="398132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374879776"/>
        <c:crosses val="autoZero"/>
        <c:auto val="1"/>
        <c:lblAlgn val="ctr"/>
        <c:lblOffset val="100"/>
        <c:noMultiLvlLbl val="0"/>
      </c:catAx>
      <c:valAx>
        <c:axId val="374879776"/>
        <c:scaling>
          <c:orientation val="minMax"/>
          <c:max val="50000"/>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39813292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12700</xdr:colOff>
      <xdr:row>66</xdr:row>
      <xdr:rowOff>0</xdr:rowOff>
    </xdr:to>
    <xdr:sp macro="" textlink="">
      <xdr:nvSpPr>
        <xdr:cNvPr id="2" name="TextBox 1">
          <a:extLst>
            <a:ext uri="{FF2B5EF4-FFF2-40B4-BE49-F238E27FC236}">
              <a16:creationId xmlns:a16="http://schemas.microsoft.com/office/drawing/2014/main" id="{692D6552-A17D-7045-8CF7-6957A54BF55C}"/>
            </a:ext>
          </a:extLst>
        </xdr:cNvPr>
        <xdr:cNvSpPr txBox="1"/>
      </xdr:nvSpPr>
      <xdr:spPr>
        <a:xfrm>
          <a:off x="0" y="0"/>
          <a:ext cx="12395200" cy="134112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1" u="sng">
              <a:solidFill>
                <a:schemeClr val="dk1"/>
              </a:solidFill>
              <a:effectLst/>
              <a:latin typeface="+mn-lt"/>
              <a:ea typeface="+mn-ea"/>
              <a:cs typeface="+mn-cs"/>
            </a:rPr>
            <a:t>The Progressive Corporation</a:t>
          </a:r>
        </a:p>
        <a:p>
          <a:endParaRPr lang="en-US" sz="1800" b="1" u="sng">
            <a:solidFill>
              <a:schemeClr val="dk1"/>
            </a:solidFill>
            <a:effectLst/>
            <a:latin typeface="+mn-lt"/>
            <a:ea typeface="+mn-ea"/>
            <a:cs typeface="+mn-cs"/>
          </a:endParaRPr>
        </a:p>
        <a:p>
          <a:r>
            <a:rPr lang="en-US" sz="2000" b="1" u="none">
              <a:solidFill>
                <a:schemeClr val="dk1"/>
              </a:solidFill>
              <a:effectLst/>
              <a:latin typeface="+mn-lt"/>
              <a:ea typeface="+mn-ea"/>
              <a:cs typeface="+mn-cs"/>
            </a:rPr>
            <a:t>December 21,</a:t>
          </a:r>
          <a:r>
            <a:rPr lang="en-US" sz="2000" b="1" u="none" baseline="0">
              <a:solidFill>
                <a:schemeClr val="dk1"/>
              </a:solidFill>
              <a:effectLst/>
              <a:latin typeface="+mn-lt"/>
              <a:ea typeface="+mn-ea"/>
              <a:cs typeface="+mn-cs"/>
            </a:rPr>
            <a:t> 2022</a:t>
          </a:r>
        </a:p>
        <a:p>
          <a:endParaRPr lang="en-US" sz="1800" b="1" u="none" baseline="0">
            <a:solidFill>
              <a:schemeClr val="dk1"/>
            </a:solidFill>
            <a:effectLst/>
            <a:latin typeface="+mn-lt"/>
            <a:ea typeface="+mn-ea"/>
            <a:cs typeface="+mn-cs"/>
          </a:endParaRPr>
        </a:p>
        <a:p>
          <a:r>
            <a:rPr lang="en-US" sz="2000" b="1" u="sng" baseline="0">
              <a:solidFill>
                <a:schemeClr val="dk1"/>
              </a:solidFill>
              <a:effectLst/>
              <a:latin typeface="+mn-lt"/>
              <a:ea typeface="+mn-ea"/>
              <a:cs typeface="+mn-cs"/>
            </a:rPr>
            <a:t>TERMS OF USE</a:t>
          </a:r>
          <a:endParaRPr lang="en-US" sz="2000" b="1" u="sng">
            <a:solidFill>
              <a:schemeClr val="dk1"/>
            </a:solidFill>
            <a:effectLst/>
            <a:latin typeface="+mn-lt"/>
            <a:ea typeface="+mn-ea"/>
            <a:cs typeface="+mn-cs"/>
          </a:endParaRPr>
        </a:p>
        <a:p>
          <a:endParaRPr lang="en-US" sz="1400" b="1">
            <a:solidFill>
              <a:schemeClr val="dk1"/>
            </a:solidFill>
            <a:effectLst/>
            <a:latin typeface="+mn-lt"/>
            <a:ea typeface="+mn-ea"/>
            <a:cs typeface="+mn-cs"/>
          </a:endParaRPr>
        </a:p>
        <a:p>
          <a:r>
            <a:rPr lang="en-US" sz="1600" b="1">
              <a:solidFill>
                <a:schemeClr val="dk1"/>
              </a:solidFill>
              <a:effectLst/>
              <a:latin typeface="+mn-lt"/>
              <a:ea typeface="+mn-ea"/>
              <a:cs typeface="+mn-cs"/>
            </a:rPr>
            <a:t>© Copyright 2022 by The Rational Walk LLC.  All rights reserved.</a:t>
          </a:r>
          <a:endParaRPr lang="en-US" sz="1600">
            <a:solidFill>
              <a:schemeClr val="dk1"/>
            </a:solidFill>
            <a:effectLst/>
            <a:latin typeface="+mn-lt"/>
            <a:ea typeface="+mn-ea"/>
            <a:cs typeface="+mn-cs"/>
          </a:endParaRPr>
        </a:p>
        <a:p>
          <a:r>
            <a:rPr lang="en-US" sz="1600" b="1">
              <a:solidFill>
                <a:schemeClr val="dk1"/>
              </a:solidFill>
              <a:effectLst/>
              <a:latin typeface="+mn-lt"/>
              <a:ea typeface="+mn-ea"/>
              <a:cs typeface="+mn-cs"/>
            </a:rPr>
            <a:t> </a:t>
          </a:r>
          <a:endParaRPr lang="en-US" sz="1600">
            <a:solidFill>
              <a:schemeClr val="dk1"/>
            </a:solidFill>
            <a:effectLst/>
            <a:latin typeface="+mn-lt"/>
            <a:ea typeface="+mn-ea"/>
            <a:cs typeface="+mn-cs"/>
          </a:endParaRPr>
        </a:p>
        <a:p>
          <a:r>
            <a:rPr lang="en-US" sz="1600" b="1">
              <a:solidFill>
                <a:schemeClr val="dk1"/>
              </a:solidFill>
              <a:effectLst/>
              <a:latin typeface="+mn-lt"/>
              <a:ea typeface="+mn-ea"/>
              <a:cs typeface="+mn-cs"/>
            </a:rPr>
            <a:t>This Excel workbook is part of a series of business profiles published by The Rational Walk LLC. </a:t>
          </a:r>
          <a:endParaRPr lang="en-US" sz="1600">
            <a:solidFill>
              <a:schemeClr val="dk1"/>
            </a:solidFill>
            <a:effectLst/>
            <a:latin typeface="+mn-lt"/>
            <a:ea typeface="+mn-ea"/>
            <a:cs typeface="+mn-cs"/>
          </a:endParaRPr>
        </a:p>
        <a:p>
          <a:r>
            <a:rPr lang="en-US" sz="1600" b="1">
              <a:solidFill>
                <a:schemeClr val="dk1"/>
              </a:solidFill>
              <a:effectLst/>
              <a:latin typeface="+mn-lt"/>
              <a:ea typeface="+mn-ea"/>
              <a:cs typeface="+mn-cs"/>
            </a:rPr>
            <a:t> </a:t>
          </a:r>
          <a:endParaRPr lang="en-US" sz="1600">
            <a:solidFill>
              <a:schemeClr val="dk1"/>
            </a:solidFill>
            <a:effectLst/>
            <a:latin typeface="+mn-lt"/>
            <a:ea typeface="+mn-ea"/>
            <a:cs typeface="+mn-cs"/>
          </a:endParaRPr>
        </a:p>
        <a:p>
          <a:r>
            <a:rPr lang="en-US" sz="1600" b="1">
              <a:solidFill>
                <a:schemeClr val="dk1"/>
              </a:solidFill>
              <a:effectLst/>
              <a:latin typeface="+mn-lt"/>
              <a:ea typeface="+mn-ea"/>
              <a:cs typeface="+mn-cs"/>
            </a:rPr>
            <a:t>The purpose of a business profile is to provide readers with information regarding a company’s business model and financial results. Business profiles </a:t>
          </a:r>
          <a:r>
            <a:rPr lang="en-US" sz="1600" b="1" u="sng">
              <a:solidFill>
                <a:schemeClr val="dk1"/>
              </a:solidFill>
              <a:effectLst/>
              <a:latin typeface="+mn-lt"/>
              <a:ea typeface="+mn-ea"/>
              <a:cs typeface="+mn-cs"/>
            </a:rPr>
            <a:t>do not</a:t>
          </a:r>
          <a:r>
            <a:rPr lang="en-US" sz="1600" b="1">
              <a:solidFill>
                <a:schemeClr val="dk1"/>
              </a:solidFill>
              <a:effectLst/>
              <a:latin typeface="+mn-lt"/>
              <a:ea typeface="+mn-ea"/>
              <a:cs typeface="+mn-cs"/>
            </a:rPr>
            <a:t> provide intrinsic value estimates regarding whether the securities related to the business are attractive investments. Reports are meant to provide background information for educational purposes.</a:t>
          </a:r>
          <a:endParaRPr lang="en-US" sz="1600">
            <a:solidFill>
              <a:schemeClr val="dk1"/>
            </a:solidFill>
            <a:effectLst/>
            <a:latin typeface="+mn-lt"/>
            <a:ea typeface="+mn-ea"/>
            <a:cs typeface="+mn-cs"/>
          </a:endParaRPr>
        </a:p>
        <a:p>
          <a:r>
            <a:rPr lang="en-US" sz="1600" b="1">
              <a:solidFill>
                <a:schemeClr val="dk1"/>
              </a:solidFill>
              <a:effectLst/>
              <a:latin typeface="+mn-lt"/>
              <a:ea typeface="+mn-ea"/>
              <a:cs typeface="+mn-cs"/>
            </a:rPr>
            <a:t> </a:t>
          </a:r>
          <a:endParaRPr lang="en-US" sz="1600">
            <a:solidFill>
              <a:schemeClr val="dk1"/>
            </a:solidFill>
            <a:effectLst/>
            <a:latin typeface="+mn-lt"/>
            <a:ea typeface="+mn-ea"/>
            <a:cs typeface="+mn-cs"/>
          </a:endParaRPr>
        </a:p>
        <a:p>
          <a:r>
            <a:rPr lang="en-US" sz="1600" b="1">
              <a:solidFill>
                <a:schemeClr val="dk1"/>
              </a:solidFill>
              <a:effectLst/>
              <a:latin typeface="+mn-lt"/>
              <a:ea typeface="+mn-ea"/>
              <a:cs typeface="+mn-cs"/>
            </a:rPr>
            <a:t>The Rational Walk LLC is not a registered investment advisor.</a:t>
          </a:r>
          <a:r>
            <a:rPr lang="en-US" sz="1600">
              <a:solidFill>
                <a:schemeClr val="dk1"/>
              </a:solidFill>
              <a:effectLst/>
              <a:latin typeface="+mn-lt"/>
              <a:ea typeface="+mn-ea"/>
              <a:cs typeface="+mn-cs"/>
            </a:rPr>
            <a:t> Please consult with your own investment advisor before buying or selling any securities discussed in this report. This report is not investment advice nor is it a recommendation to buy or sell securities. Past performance of securities discussed in this report is not a good indication of future performance. </a:t>
          </a:r>
        </a:p>
        <a:p>
          <a:r>
            <a:rPr lang="en-US" sz="1600">
              <a:solidFill>
                <a:schemeClr val="dk1"/>
              </a:solidFill>
              <a:effectLst/>
              <a:latin typeface="+mn-lt"/>
              <a:ea typeface="+mn-ea"/>
              <a:cs typeface="+mn-cs"/>
            </a:rPr>
            <a:t> </a:t>
          </a:r>
        </a:p>
        <a:p>
          <a:r>
            <a:rPr lang="en-US" sz="1600" b="1">
              <a:solidFill>
                <a:schemeClr val="dk1"/>
              </a:solidFill>
              <a:effectLst/>
              <a:latin typeface="+mn-lt"/>
              <a:ea typeface="+mn-ea"/>
              <a:cs typeface="+mn-cs"/>
            </a:rPr>
            <a:t>All content is strictly protected by United States copyright laws.</a:t>
          </a:r>
          <a:r>
            <a:rPr lang="en-US" sz="1600">
              <a:solidFill>
                <a:schemeClr val="dk1"/>
              </a:solidFill>
              <a:effectLst/>
              <a:latin typeface="+mn-lt"/>
              <a:ea typeface="+mn-ea"/>
              <a:cs typeface="+mn-cs"/>
            </a:rPr>
            <a:t> Unlawful reproduction is prohibited. This publication may not be photocopied, electronically redistributed, or quoted without written permission, expect for brief quotations in compliance with the fair use doctrine when accompanied by an acknowledgement of the original source.    </a:t>
          </a:r>
        </a:p>
        <a:p>
          <a:r>
            <a:rPr lang="en-US" sz="1600">
              <a:solidFill>
                <a:schemeClr val="dk1"/>
              </a:solidFill>
              <a:effectLst/>
              <a:latin typeface="+mn-lt"/>
              <a:ea typeface="+mn-ea"/>
              <a:cs typeface="+mn-cs"/>
            </a:rPr>
            <a:t> </a:t>
          </a:r>
        </a:p>
        <a:p>
          <a:r>
            <a:rPr lang="en-US" sz="1600" b="1">
              <a:solidFill>
                <a:schemeClr val="dk1"/>
              </a:solidFill>
              <a:effectLst/>
              <a:latin typeface="+mn-lt"/>
              <a:ea typeface="+mn-ea"/>
              <a:cs typeface="+mn-cs"/>
            </a:rPr>
            <a:t>The information contained in this report is based on sources considered to be reliable, but no guarantees are made regarding accuracy.</a:t>
          </a:r>
          <a:r>
            <a:rPr lang="en-US" sz="1600">
              <a:solidFill>
                <a:schemeClr val="dk1"/>
              </a:solidFill>
              <a:effectLst/>
              <a:latin typeface="+mn-lt"/>
              <a:ea typeface="+mn-ea"/>
              <a:cs typeface="+mn-cs"/>
            </a:rPr>
            <a:t> No warranties are given as to the accuracy or completeness of this analysis. All links to internet sites listed in this publication were valid at the time of publication but may change or become invalid in the future. No assurance can be given regarding the reliability of data on these websites. </a:t>
          </a:r>
        </a:p>
        <a:p>
          <a:endParaRPr lang="en-US" sz="1600">
            <a:solidFill>
              <a:schemeClr val="dk1"/>
            </a:solidFill>
            <a:effectLst/>
            <a:latin typeface="+mn-lt"/>
            <a:ea typeface="+mn-ea"/>
            <a:cs typeface="+mn-cs"/>
          </a:endParaRPr>
        </a:p>
        <a:p>
          <a:r>
            <a:rPr lang="en-US" sz="1600" b="1">
              <a:solidFill>
                <a:schemeClr val="dk1"/>
              </a:solidFill>
              <a:effectLst/>
              <a:latin typeface="+mn-lt"/>
              <a:ea typeface="+mn-ea"/>
              <a:cs typeface="+mn-cs"/>
            </a:rPr>
            <a:t>Note</a:t>
          </a:r>
          <a:r>
            <a:rPr lang="en-US" sz="1600" b="1" baseline="0">
              <a:solidFill>
                <a:schemeClr val="dk1"/>
              </a:solidFill>
              <a:effectLst/>
              <a:latin typeface="+mn-lt"/>
              <a:ea typeface="+mn-ea"/>
              <a:cs typeface="+mn-cs"/>
            </a:rPr>
            <a:t> that data in this Excel file is hand-entered. </a:t>
          </a:r>
          <a:r>
            <a:rPr lang="en-US" sz="1600" baseline="0">
              <a:solidFill>
                <a:schemeClr val="dk1"/>
              </a:solidFill>
              <a:effectLst/>
              <a:latin typeface="+mn-lt"/>
              <a:ea typeface="+mn-ea"/>
              <a:cs typeface="+mn-cs"/>
            </a:rPr>
            <a:t>While significant efforts have been made to ensure accuracy, data entry errors could still exist.</a:t>
          </a:r>
          <a:endParaRPr lang="en-US" sz="1600">
            <a:solidFill>
              <a:schemeClr val="dk1"/>
            </a:solidFill>
            <a:effectLst/>
            <a:latin typeface="+mn-lt"/>
            <a:ea typeface="+mn-ea"/>
            <a:cs typeface="+mn-cs"/>
          </a:endParaRPr>
        </a:p>
        <a:p>
          <a:r>
            <a:rPr lang="en-US" sz="1600">
              <a:solidFill>
                <a:schemeClr val="dk1"/>
              </a:solidFill>
              <a:effectLst/>
              <a:latin typeface="+mn-lt"/>
              <a:ea typeface="+mn-ea"/>
              <a:cs typeface="+mn-cs"/>
            </a:rPr>
            <a:t> </a:t>
          </a:r>
        </a:p>
        <a:p>
          <a:r>
            <a:rPr lang="en-US" sz="1600">
              <a:solidFill>
                <a:schemeClr val="dk1"/>
              </a:solidFill>
              <a:effectLst/>
              <a:latin typeface="+mn-lt"/>
              <a:ea typeface="+mn-ea"/>
              <a:cs typeface="+mn-cs"/>
            </a:rPr>
            <a:t>Opinions and conclusions contained within this report are effective at the date of the report and future circumstances could cause the publisher of the report to arrive at different conclusions. No duty exists to provide updates to readers of this report at a later date if future developments change the publisher’s opinions or conclusions. </a:t>
          </a:r>
        </a:p>
        <a:p>
          <a:r>
            <a:rPr lang="en-US" sz="1600">
              <a:solidFill>
                <a:schemeClr val="dk1"/>
              </a:solidFill>
              <a:effectLst/>
              <a:latin typeface="+mn-lt"/>
              <a:ea typeface="+mn-ea"/>
              <a:cs typeface="+mn-cs"/>
            </a:rPr>
            <a:t> </a:t>
          </a:r>
        </a:p>
        <a:p>
          <a:r>
            <a:rPr lang="en-US" sz="1600">
              <a:solidFill>
                <a:schemeClr val="dk1"/>
              </a:solidFill>
              <a:effectLst/>
              <a:latin typeface="+mn-lt"/>
              <a:ea typeface="+mn-ea"/>
              <a:cs typeface="+mn-cs"/>
            </a:rPr>
            <a:t>At the date of this report, individuals associated with The Rational Walk LLC </a:t>
          </a:r>
          <a:r>
            <a:rPr lang="en-US" sz="1600" u="sng">
              <a:solidFill>
                <a:schemeClr val="dk1"/>
              </a:solidFill>
              <a:effectLst/>
              <a:latin typeface="+mn-lt"/>
              <a:ea typeface="+mn-ea"/>
              <a:cs typeface="+mn-cs"/>
            </a:rPr>
            <a:t>do not</a:t>
          </a:r>
          <a:r>
            <a:rPr lang="en-US" sz="1600">
              <a:solidFill>
                <a:schemeClr val="dk1"/>
              </a:solidFill>
              <a:effectLst/>
              <a:latin typeface="+mn-lt"/>
              <a:ea typeface="+mn-ea"/>
              <a:cs typeface="+mn-cs"/>
            </a:rPr>
            <a:t> own shares of Progressive but may buy or sell shares at any time, in any quantity, and for any reason without any disclosure to readers of this report.  </a:t>
          </a:r>
        </a:p>
        <a:p>
          <a:r>
            <a:rPr lang="en-US" sz="1600">
              <a:solidFill>
                <a:schemeClr val="dk1"/>
              </a:solidFill>
              <a:effectLst/>
              <a:latin typeface="+mn-lt"/>
              <a:ea typeface="+mn-ea"/>
              <a:cs typeface="+mn-cs"/>
            </a:rPr>
            <a:t>  </a:t>
          </a:r>
        </a:p>
        <a:p>
          <a:r>
            <a:rPr lang="en-US" sz="1600" b="1" u="none">
              <a:solidFill>
                <a:sysClr val="windowText" lastClr="000000"/>
              </a:solidFill>
              <a:effectLst/>
              <a:latin typeface="+mn-lt"/>
              <a:ea typeface="+mn-ea"/>
              <a:cs typeface="+mn-cs"/>
            </a:rPr>
            <a:t>The Rational Walk </a:t>
          </a:r>
          <a:r>
            <a:rPr lang="en-US" sz="1600">
              <a:solidFill>
                <a:schemeClr val="dk1"/>
              </a:solidFill>
              <a:effectLst/>
              <a:latin typeface="+mn-lt"/>
              <a:ea typeface="+mn-ea"/>
              <a:cs typeface="+mn-cs"/>
            </a:rPr>
            <a:t>was founded in 2009 by Ravi Nagarajan who is the author of all content on the website. Over a thousand articles have been published over the past fourteen years primarily on topics related to investing and personal finance. The Rational Walk’s extensive coverage of Berkshire Hathaway has been mentioned in several news articles.  </a:t>
          </a:r>
        </a:p>
        <a:p>
          <a:r>
            <a:rPr lang="en-US" sz="1600">
              <a:solidFill>
                <a:schemeClr val="dk1"/>
              </a:solidFill>
              <a:effectLst/>
              <a:latin typeface="+mn-lt"/>
              <a:ea typeface="+mn-ea"/>
              <a:cs typeface="+mn-cs"/>
            </a:rPr>
            <a:t>  </a:t>
          </a:r>
        </a:p>
        <a:p>
          <a:r>
            <a:rPr lang="en-US" sz="1600" b="1">
              <a:solidFill>
                <a:schemeClr val="dk1"/>
              </a:solidFill>
              <a:effectLst/>
              <a:latin typeface="+mn-lt"/>
              <a:ea typeface="+mn-ea"/>
              <a:cs typeface="+mn-cs"/>
            </a:rPr>
            <a:t>Rational Reflections </a:t>
          </a:r>
          <a:r>
            <a:rPr lang="en-US" sz="1600">
              <a:solidFill>
                <a:schemeClr val="dk1"/>
              </a:solidFill>
              <a:effectLst/>
              <a:latin typeface="+mn-lt"/>
              <a:ea typeface="+mn-ea"/>
              <a:cs typeface="+mn-cs"/>
            </a:rPr>
            <a:t>is a newsletter that was founded in 2020 by Ravi Nagarajan who is the author of all of its content. </a:t>
          </a:r>
        </a:p>
        <a:p>
          <a:endParaRPr lang="en-US" sz="1600" b="0">
            <a:solidFill>
              <a:schemeClr val="dk1"/>
            </a:solidFill>
            <a:effectLst/>
            <a:latin typeface="+mn-lt"/>
            <a:ea typeface="+mn-ea"/>
            <a:cs typeface="+mn-cs"/>
          </a:endParaRPr>
        </a:p>
        <a:p>
          <a:r>
            <a:rPr lang="en-US" sz="1600" b="0" baseline="0">
              <a:solidFill>
                <a:schemeClr val="dk1"/>
              </a:solidFill>
              <a:effectLst/>
              <a:latin typeface="+mn-lt"/>
              <a:ea typeface="+mn-ea"/>
              <a:cs typeface="+mn-cs"/>
            </a:rPr>
            <a:t>     - </a:t>
          </a:r>
          <a:r>
            <a:rPr lang="en-US" sz="1600" b="1">
              <a:solidFill>
                <a:schemeClr val="dk1"/>
              </a:solidFill>
              <a:effectLst/>
              <a:latin typeface="+mn-lt"/>
              <a:ea typeface="+mn-ea"/>
              <a:cs typeface="+mn-cs"/>
            </a:rPr>
            <a:t>Weekly Digest</a:t>
          </a:r>
          <a:r>
            <a:rPr lang="en-US" sz="1600">
              <a:solidFill>
                <a:schemeClr val="dk1"/>
              </a:solidFill>
              <a:effectLst/>
              <a:latin typeface="+mn-lt"/>
              <a:ea typeface="+mn-ea"/>
              <a:cs typeface="+mn-cs"/>
            </a:rPr>
            <a:t> contains original content and links to articles, podcasts and videos with a high signal-to-noise ratio.</a:t>
          </a:r>
        </a:p>
        <a:p>
          <a:pPr lvl="0"/>
          <a:r>
            <a:rPr lang="en-US" sz="1600" b="1">
              <a:solidFill>
                <a:schemeClr val="dk1"/>
              </a:solidFill>
              <a:effectLst/>
              <a:latin typeface="+mn-lt"/>
              <a:ea typeface="+mn-ea"/>
              <a:cs typeface="+mn-cs"/>
            </a:rPr>
            <a:t>     - Articles</a:t>
          </a:r>
          <a:r>
            <a:rPr lang="en-US" sz="1600" b="0">
              <a:solidFill>
                <a:schemeClr val="dk1"/>
              </a:solidFill>
              <a:effectLst/>
              <a:latin typeface="+mn-lt"/>
              <a:ea typeface="+mn-ea"/>
              <a:cs typeface="+mn-cs"/>
            </a:rPr>
            <a:t> </a:t>
          </a:r>
          <a:r>
            <a:rPr lang="en-US" sz="1600">
              <a:solidFill>
                <a:schemeClr val="dk1"/>
              </a:solidFill>
              <a:effectLst/>
              <a:latin typeface="+mn-lt"/>
              <a:ea typeface="+mn-ea"/>
              <a:cs typeface="+mn-cs"/>
            </a:rPr>
            <a:t>cover a wide range of topics and are published several times per month.</a:t>
          </a:r>
        </a:p>
        <a:p>
          <a:pPr lvl="0"/>
          <a:r>
            <a:rPr lang="en-US" sz="1600" b="1">
              <a:solidFill>
                <a:schemeClr val="dk1"/>
              </a:solidFill>
              <a:effectLst/>
              <a:latin typeface="+mn-lt"/>
              <a:ea typeface="+mn-ea"/>
              <a:cs typeface="+mn-cs"/>
            </a:rPr>
            <a:t>     - Business Profiles </a:t>
          </a:r>
          <a:r>
            <a:rPr lang="en-US" sz="1600">
              <a:solidFill>
                <a:schemeClr val="dk1"/>
              </a:solidFill>
              <a:effectLst/>
              <a:latin typeface="+mn-lt"/>
              <a:ea typeface="+mn-ea"/>
              <a:cs typeface="+mn-cs"/>
            </a:rPr>
            <a:t>aim to provide readers with a comprehensive overview of high quality companies.</a:t>
          </a:r>
        </a:p>
        <a:p>
          <a:r>
            <a:rPr lang="en-US" sz="1600">
              <a:solidFill>
                <a:schemeClr val="dk1"/>
              </a:solidFill>
              <a:effectLst/>
              <a:latin typeface="+mn-lt"/>
              <a:ea typeface="+mn-ea"/>
              <a:cs typeface="+mn-cs"/>
            </a:rPr>
            <a:t> </a:t>
          </a:r>
        </a:p>
        <a:p>
          <a:r>
            <a:rPr lang="en-US" sz="1600" b="1">
              <a:solidFill>
                <a:schemeClr val="dk1"/>
              </a:solidFill>
              <a:effectLst/>
              <a:latin typeface="+mn-lt"/>
              <a:ea typeface="+mn-ea"/>
              <a:cs typeface="+mn-cs"/>
            </a:rPr>
            <a:t>The current subscription price for Rational Reflections is $12 per month or $120 per year.</a:t>
          </a:r>
          <a:r>
            <a:rPr lang="en-US" sz="1600">
              <a:solidFill>
                <a:schemeClr val="dk1"/>
              </a:solidFill>
              <a:effectLst/>
              <a:latin typeface="+mn-lt"/>
              <a:ea typeface="+mn-ea"/>
              <a:cs typeface="+mn-cs"/>
            </a:rPr>
            <a:t> </a:t>
          </a:r>
        </a:p>
        <a:p>
          <a:r>
            <a:rPr lang="en-US" sz="1600">
              <a:solidFill>
                <a:schemeClr val="dk1"/>
              </a:solidFill>
              <a:effectLst/>
              <a:latin typeface="+mn-lt"/>
              <a:ea typeface="+mn-ea"/>
              <a:cs typeface="+mn-cs"/>
            </a:rPr>
            <a:t> </a:t>
          </a:r>
        </a:p>
        <a:p>
          <a:r>
            <a:rPr lang="en-US" sz="1600">
              <a:solidFill>
                <a:schemeClr val="dk1"/>
              </a:solidFill>
              <a:effectLst/>
              <a:latin typeface="+mn-lt"/>
              <a:ea typeface="+mn-ea"/>
              <a:cs typeface="+mn-cs"/>
            </a:rPr>
            <a:t>Subscriptions are available for purchase at rationalreflections.substack.com/subscribe. Subscriptions are meant to be accessed by a single individual. Please do not redistribute this report or other subscriber-only materials to non-subscribers. </a:t>
          </a:r>
        </a:p>
        <a:p>
          <a:endParaRPr lang="en-US" sz="1600">
            <a:solidFill>
              <a:schemeClr val="dk1"/>
            </a:solidFill>
            <a:effectLst/>
            <a:latin typeface="+mn-lt"/>
            <a:ea typeface="+mn-ea"/>
            <a:cs typeface="+mn-cs"/>
          </a:endParaRPr>
        </a:p>
        <a:p>
          <a:r>
            <a:rPr lang="en-US" sz="1600">
              <a:solidFill>
                <a:schemeClr val="dk1"/>
              </a:solidFill>
              <a:effectLst/>
              <a:latin typeface="+mn-lt"/>
              <a:ea typeface="+mn-ea"/>
              <a:cs typeface="+mn-cs"/>
            </a:rPr>
            <a:t>Please direct any inquiries regarding this publication to administrator@rationalwalk.com</a:t>
          </a:r>
          <a:endParaRPr 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12700</xdr:colOff>
      <xdr:row>109</xdr:row>
      <xdr:rowOff>228600</xdr:rowOff>
    </xdr:from>
    <xdr:to>
      <xdr:col>19</xdr:col>
      <xdr:colOff>12700</xdr:colOff>
      <xdr:row>118</xdr:row>
      <xdr:rowOff>0</xdr:rowOff>
    </xdr:to>
    <xdr:sp macro="" textlink="">
      <xdr:nvSpPr>
        <xdr:cNvPr id="2" name="TextBox 1">
          <a:extLst>
            <a:ext uri="{FF2B5EF4-FFF2-40B4-BE49-F238E27FC236}">
              <a16:creationId xmlns:a16="http://schemas.microsoft.com/office/drawing/2014/main" id="{5A7A77B2-895B-FA64-3D10-E8528656DF2B}"/>
            </a:ext>
          </a:extLst>
        </xdr:cNvPr>
        <xdr:cNvSpPr txBox="1"/>
      </xdr:nvSpPr>
      <xdr:spPr>
        <a:xfrm>
          <a:off x="14617700" y="23558500"/>
          <a:ext cx="4953000" cy="19431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u="sng"/>
            <a:t>LOSS DEVELOPMENT</a:t>
          </a:r>
        </a:p>
        <a:p>
          <a:pPr algn="ctr"/>
          <a:endParaRPr lang="en-US" sz="900"/>
        </a:p>
        <a:p>
          <a:r>
            <a:rPr lang="en-US" sz="1400" b="1"/>
            <a:t>Auto insurance is short-tail, meaning that most claims are known soon after</a:t>
          </a:r>
          <a:r>
            <a:rPr lang="en-US" sz="1400" b="1" baseline="0"/>
            <a:t> a loss and claims are usually settled quickly. As a result, prior year loss development is relatively modest relative to premium volume. Negative numbers indicate favorable loss development whereas positive numbers indicate unfavorable development.</a:t>
          </a:r>
          <a:endParaRPr lang="en-US" sz="1400" b="1"/>
        </a:p>
      </xdr:txBody>
    </xdr:sp>
    <xdr:clientData/>
  </xdr:twoCellAnchor>
  <xdr:twoCellAnchor editAs="oneCell">
    <xdr:from>
      <xdr:col>1</xdr:col>
      <xdr:colOff>25400</xdr:colOff>
      <xdr:row>122</xdr:row>
      <xdr:rowOff>25400</xdr:rowOff>
    </xdr:from>
    <xdr:to>
      <xdr:col>19</xdr:col>
      <xdr:colOff>12700</xdr:colOff>
      <xdr:row>137</xdr:row>
      <xdr:rowOff>203200</xdr:rowOff>
    </xdr:to>
    <xdr:pic>
      <xdr:nvPicPr>
        <xdr:cNvPr id="4" name="Picture 3">
          <a:extLst>
            <a:ext uri="{FF2B5EF4-FFF2-40B4-BE49-F238E27FC236}">
              <a16:creationId xmlns:a16="http://schemas.microsoft.com/office/drawing/2014/main" id="{F043B113-3943-1DCC-D04A-6E111436CC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6300" y="26517600"/>
          <a:ext cx="14884400" cy="3797300"/>
        </a:xfrm>
        <a:prstGeom prst="rect">
          <a:avLst/>
        </a:prstGeom>
      </xdr:spPr>
    </xdr:pic>
    <xdr:clientData/>
  </xdr:twoCellAnchor>
  <xdr:twoCellAnchor>
    <xdr:from>
      <xdr:col>1</xdr:col>
      <xdr:colOff>0</xdr:colOff>
      <xdr:row>119</xdr:row>
      <xdr:rowOff>165100</xdr:rowOff>
    </xdr:from>
    <xdr:to>
      <xdr:col>19</xdr:col>
      <xdr:colOff>0</xdr:colOff>
      <xdr:row>122</xdr:row>
      <xdr:rowOff>0</xdr:rowOff>
    </xdr:to>
    <xdr:sp macro="" textlink="">
      <xdr:nvSpPr>
        <xdr:cNvPr id="5" name="TextBox 4">
          <a:extLst>
            <a:ext uri="{FF2B5EF4-FFF2-40B4-BE49-F238E27FC236}">
              <a16:creationId xmlns:a16="http://schemas.microsoft.com/office/drawing/2014/main" id="{A9A88FCE-F883-F267-CE62-EAFB9B3E972E}"/>
            </a:ext>
          </a:extLst>
        </xdr:cNvPr>
        <xdr:cNvSpPr txBox="1"/>
      </xdr:nvSpPr>
      <xdr:spPr>
        <a:xfrm>
          <a:off x="4660900" y="25920700"/>
          <a:ext cx="14897100" cy="571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The table</a:t>
          </a:r>
          <a:r>
            <a:rPr lang="en-US" sz="1400" b="1" baseline="0"/>
            <a:t> below is taken from the 2021 10-K, p. 34. It shows that physical damage claims are paid most quickly, followed by liability coverage. This is to be expected, as physical damage is apparent shortly after a loss while liability can take time to emerge and settle. Overall, Progressive's business is short-tail with vast majority of auto claims settled prior to the third year.</a:t>
          </a:r>
          <a:endParaRPr lang="en-US"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1778000</xdr:colOff>
      <xdr:row>64</xdr:row>
      <xdr:rowOff>0</xdr:rowOff>
    </xdr:from>
    <xdr:to>
      <xdr:col>1</xdr:col>
      <xdr:colOff>0</xdr:colOff>
      <xdr:row>68</xdr:row>
      <xdr:rowOff>12700</xdr:rowOff>
    </xdr:to>
    <xdr:sp macro="" textlink="">
      <xdr:nvSpPr>
        <xdr:cNvPr id="2" name="TextBox 1">
          <a:extLst>
            <a:ext uri="{FF2B5EF4-FFF2-40B4-BE49-F238E27FC236}">
              <a16:creationId xmlns:a16="http://schemas.microsoft.com/office/drawing/2014/main" id="{B93802ED-E303-CF20-7F9E-FA4C0EBEEBE1}"/>
            </a:ext>
          </a:extLst>
        </xdr:cNvPr>
        <xdr:cNvSpPr txBox="1"/>
      </xdr:nvSpPr>
      <xdr:spPr>
        <a:xfrm>
          <a:off x="1778000" y="15582900"/>
          <a:ext cx="3009900" cy="977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For</a:t>
          </a:r>
          <a:r>
            <a:rPr lang="en-US" sz="1400" baseline="0"/>
            <a:t> a policies in force on a monthly basis from January 2019 to November 2022, see the Monthly Data Series spreadsheet in this workbook. </a:t>
          </a:r>
          <a:endParaRPr lang="en-US" sz="1400"/>
        </a:p>
      </xdr:txBody>
    </xdr:sp>
    <xdr:clientData/>
  </xdr:twoCellAnchor>
  <xdr:twoCellAnchor>
    <xdr:from>
      <xdr:col>0</xdr:col>
      <xdr:colOff>1816100</xdr:colOff>
      <xdr:row>82</xdr:row>
      <xdr:rowOff>25400</xdr:rowOff>
    </xdr:from>
    <xdr:to>
      <xdr:col>1</xdr:col>
      <xdr:colOff>12700</xdr:colOff>
      <xdr:row>88</xdr:row>
      <xdr:rowOff>12700</xdr:rowOff>
    </xdr:to>
    <xdr:sp macro="" textlink="">
      <xdr:nvSpPr>
        <xdr:cNvPr id="3" name="TextBox 2">
          <a:extLst>
            <a:ext uri="{FF2B5EF4-FFF2-40B4-BE49-F238E27FC236}">
              <a16:creationId xmlns:a16="http://schemas.microsoft.com/office/drawing/2014/main" id="{C30116D2-56F5-5CD1-5359-9C7B587DDF02}"/>
            </a:ext>
          </a:extLst>
        </xdr:cNvPr>
        <xdr:cNvSpPr txBox="1"/>
      </xdr:nvSpPr>
      <xdr:spPr>
        <a:xfrm>
          <a:off x="1816100" y="19977100"/>
          <a:ext cx="2984500" cy="1435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These figures take revenue</a:t>
          </a:r>
          <a:r>
            <a:rPr lang="en-US" sz="1400" baseline="0"/>
            <a:t> for personal, commercial, and property lines and divide by average policies in force for the year. For Q1-Q3 2022, the figures are annualized to allow for comparability to annual figures.</a:t>
          </a:r>
          <a:endParaRPr lang="en-US"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12700</xdr:colOff>
      <xdr:row>18</xdr:row>
      <xdr:rowOff>203200</xdr:rowOff>
    </xdr:from>
    <xdr:to>
      <xdr:col>22</xdr:col>
      <xdr:colOff>38100</xdr:colOff>
      <xdr:row>37</xdr:row>
      <xdr:rowOff>215900</xdr:rowOff>
    </xdr:to>
    <xdr:graphicFrame macro="">
      <xdr:nvGraphicFramePr>
        <xdr:cNvPr id="2" name="Chart 1">
          <a:extLst>
            <a:ext uri="{FF2B5EF4-FFF2-40B4-BE49-F238E27FC236}">
              <a16:creationId xmlns:a16="http://schemas.microsoft.com/office/drawing/2014/main" id="{DB282261-30C1-92B2-C0E4-9EC3604BF7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50800</xdr:colOff>
      <xdr:row>38</xdr:row>
      <xdr:rowOff>12700</xdr:rowOff>
    </xdr:from>
    <xdr:to>
      <xdr:col>18</xdr:col>
      <xdr:colOff>292100</xdr:colOff>
      <xdr:row>58</xdr:row>
      <xdr:rowOff>63500</xdr:rowOff>
    </xdr:to>
    <xdr:graphicFrame macro="">
      <xdr:nvGraphicFramePr>
        <xdr:cNvPr id="3" name="Chart 2">
          <a:extLst>
            <a:ext uri="{FF2B5EF4-FFF2-40B4-BE49-F238E27FC236}">
              <a16:creationId xmlns:a16="http://schemas.microsoft.com/office/drawing/2014/main" id="{8C6ACFB8-E05B-CD4F-816B-E95BA46157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38</xdr:row>
      <xdr:rowOff>0</xdr:rowOff>
    </xdr:from>
    <xdr:to>
      <xdr:col>8</xdr:col>
      <xdr:colOff>38100</xdr:colOff>
      <xdr:row>58</xdr:row>
      <xdr:rowOff>50800</xdr:rowOff>
    </xdr:to>
    <xdr:graphicFrame macro="">
      <xdr:nvGraphicFramePr>
        <xdr:cNvPr id="4" name="Chart 3">
          <a:extLst>
            <a:ext uri="{FF2B5EF4-FFF2-40B4-BE49-F238E27FC236}">
              <a16:creationId xmlns:a16="http://schemas.microsoft.com/office/drawing/2014/main" id="{79521A32-293E-5C47-83AD-15ED599302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12700</xdr:colOff>
      <xdr:row>0</xdr:row>
      <xdr:rowOff>254000</xdr:rowOff>
    </xdr:from>
    <xdr:to>
      <xdr:col>22</xdr:col>
      <xdr:colOff>38100</xdr:colOff>
      <xdr:row>18</xdr:row>
      <xdr:rowOff>190500</xdr:rowOff>
    </xdr:to>
    <xdr:graphicFrame macro="">
      <xdr:nvGraphicFramePr>
        <xdr:cNvPr id="5" name="Chart 4">
          <a:extLst>
            <a:ext uri="{FF2B5EF4-FFF2-40B4-BE49-F238E27FC236}">
              <a16:creationId xmlns:a16="http://schemas.microsoft.com/office/drawing/2014/main" id="{38186AE2-334E-0B46-A699-23F0399122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0.00169</cdr:x>
      <cdr:y>0.1456</cdr:y>
    </cdr:from>
    <cdr:to>
      <cdr:x>0.11318</cdr:x>
      <cdr:y>0.20055</cdr:y>
    </cdr:to>
    <cdr:sp macro="" textlink="">
      <cdr:nvSpPr>
        <cdr:cNvPr id="2" name="TextBox 1">
          <a:extLst xmlns:a="http://schemas.openxmlformats.org/drawingml/2006/main">
            <a:ext uri="{FF2B5EF4-FFF2-40B4-BE49-F238E27FC236}">
              <a16:creationId xmlns:a16="http://schemas.microsoft.com/office/drawing/2014/main" id="{DD149558-A993-44AF-C844-8ADCA9E0BBAD}"/>
            </a:ext>
          </a:extLst>
        </cdr:cNvPr>
        <cdr:cNvSpPr txBox="1"/>
      </cdr:nvSpPr>
      <cdr:spPr>
        <a:xfrm xmlns:a="http://schemas.openxmlformats.org/drawingml/2006/main">
          <a:off x="12700" y="673100"/>
          <a:ext cx="838200" cy="254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 millions</a:t>
          </a:r>
        </a:p>
      </cdr:txBody>
    </cdr:sp>
  </cdr:relSizeAnchor>
</c:userShape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E0C5D-DEB5-984F-8A24-7C03B6B544AA}">
  <sheetPr>
    <tabColor rgb="FF00B050"/>
    <pageSetUpPr fitToPage="1"/>
  </sheetPr>
  <dimension ref="A1"/>
  <sheetViews>
    <sheetView tabSelected="1" workbookViewId="0">
      <selection activeCell="G70" sqref="G70"/>
    </sheetView>
  </sheetViews>
  <sheetFormatPr baseColWidth="10" defaultRowHeight="16" x14ac:dyDescent="0.2"/>
  <cols>
    <col min="1" max="16384" width="10.83203125" style="29"/>
  </cols>
  <sheetData/>
  <pageMargins left="0.7" right="0.7" top="0.75" bottom="0.75" header="0.3" footer="0.3"/>
  <pageSetup scale="4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X122"/>
  <sheetViews>
    <sheetView zoomScaleNormal="100" workbookViewId="0"/>
  </sheetViews>
  <sheetFormatPr baseColWidth="10" defaultColWidth="9.1640625" defaultRowHeight="19" x14ac:dyDescent="0.25"/>
  <cols>
    <col min="1" max="1" width="61.1640625" style="1" customWidth="1"/>
    <col min="2" max="2" width="11.33203125" style="1" bestFit="1" customWidth="1"/>
    <col min="3" max="23" width="10.83203125" style="1" customWidth="1"/>
    <col min="24" max="16384" width="9.1640625" style="1"/>
  </cols>
  <sheetData>
    <row r="1" spans="1:24" ht="24" x14ac:dyDescent="0.3">
      <c r="A1" s="38" t="s">
        <v>238</v>
      </c>
      <c r="B1" s="47"/>
      <c r="C1" s="3"/>
      <c r="D1" s="3"/>
      <c r="E1" s="3"/>
      <c r="F1" s="3"/>
      <c r="G1" s="3"/>
      <c r="H1" s="3"/>
      <c r="I1" s="3"/>
      <c r="J1" s="3"/>
      <c r="K1" s="3"/>
      <c r="L1" s="3"/>
      <c r="M1" s="3"/>
      <c r="N1" s="3"/>
      <c r="O1" s="3"/>
      <c r="P1" s="3"/>
      <c r="Q1" s="3"/>
      <c r="R1" s="3"/>
      <c r="S1" s="3"/>
    </row>
    <row r="2" spans="1:24" x14ac:dyDescent="0.25">
      <c r="A2" s="2" t="s">
        <v>165</v>
      </c>
      <c r="B2" s="2"/>
      <c r="C2" s="2"/>
      <c r="D2" s="2"/>
      <c r="E2" s="2"/>
      <c r="F2" s="2"/>
      <c r="G2" s="2"/>
    </row>
    <row r="3" spans="1:24" x14ac:dyDescent="0.25">
      <c r="A3" s="116" t="s">
        <v>36</v>
      </c>
      <c r="B3" s="117">
        <v>44834</v>
      </c>
      <c r="C3" s="30">
        <v>44561</v>
      </c>
      <c r="D3" s="30">
        <v>44196</v>
      </c>
      <c r="E3" s="30">
        <v>43830</v>
      </c>
      <c r="F3" s="30">
        <v>43465</v>
      </c>
      <c r="G3" s="30">
        <v>43100</v>
      </c>
      <c r="H3" s="30">
        <v>42735</v>
      </c>
      <c r="I3" s="30">
        <v>42369</v>
      </c>
      <c r="J3" s="30">
        <v>42004</v>
      </c>
      <c r="K3" s="30">
        <v>41639</v>
      </c>
      <c r="L3" s="30">
        <v>41274</v>
      </c>
      <c r="M3" s="30">
        <v>40908</v>
      </c>
      <c r="N3" s="30">
        <v>40543</v>
      </c>
      <c r="O3" s="30">
        <v>40178</v>
      </c>
      <c r="P3" s="30">
        <v>39813</v>
      </c>
      <c r="Q3" s="30">
        <v>39447</v>
      </c>
      <c r="R3" s="30">
        <v>39082</v>
      </c>
      <c r="S3" s="30">
        <v>38717</v>
      </c>
      <c r="T3" s="30">
        <v>38352</v>
      </c>
      <c r="U3" s="30">
        <v>37986</v>
      </c>
      <c r="V3" s="30">
        <v>37621</v>
      </c>
      <c r="W3" s="30">
        <v>37256</v>
      </c>
    </row>
    <row r="4" spans="1:24" x14ac:dyDescent="0.25">
      <c r="A4" s="3" t="s">
        <v>185</v>
      </c>
      <c r="B4" s="43"/>
      <c r="C4" s="43"/>
      <c r="D4" s="43"/>
      <c r="E4" s="43"/>
      <c r="F4" s="43"/>
      <c r="G4" s="43"/>
      <c r="H4" s="43"/>
      <c r="I4" s="43"/>
      <c r="J4" s="43"/>
      <c r="K4" s="43"/>
      <c r="L4" s="43"/>
      <c r="M4" s="43"/>
      <c r="N4" s="43"/>
      <c r="O4" s="43"/>
      <c r="P4" s="43"/>
      <c r="Q4" s="43"/>
      <c r="R4" s="43"/>
      <c r="S4" s="43"/>
      <c r="T4" s="43"/>
      <c r="U4" s="43"/>
      <c r="V4" s="43"/>
      <c r="W4" s="43"/>
    </row>
    <row r="5" spans="1:24" x14ac:dyDescent="0.25">
      <c r="A5" s="1" t="s">
        <v>166</v>
      </c>
      <c r="B5" s="37"/>
      <c r="C5" s="9"/>
      <c r="D5" s="9"/>
      <c r="E5" s="9"/>
      <c r="F5" s="9"/>
      <c r="G5" s="9"/>
      <c r="H5" s="9"/>
      <c r="I5" s="9"/>
      <c r="J5" s="8"/>
      <c r="K5" s="8"/>
      <c r="L5" s="8"/>
      <c r="M5" s="8"/>
      <c r="N5" s="8"/>
      <c r="O5" s="8"/>
      <c r="P5" s="8"/>
      <c r="Q5" s="8"/>
      <c r="R5" s="8"/>
      <c r="S5" s="8"/>
      <c r="T5" s="8"/>
      <c r="U5" s="8"/>
      <c r="V5" s="8"/>
      <c r="W5" s="8"/>
    </row>
    <row r="6" spans="1:24" x14ac:dyDescent="0.25">
      <c r="A6" s="1" t="s">
        <v>167</v>
      </c>
      <c r="B6" s="8">
        <v>44173.1</v>
      </c>
      <c r="C6" s="8">
        <v>43873.1</v>
      </c>
      <c r="D6" s="8">
        <v>36810.9</v>
      </c>
      <c r="E6" s="8">
        <v>33110.300000000003</v>
      </c>
      <c r="F6" s="8">
        <v>28111.5</v>
      </c>
      <c r="G6" s="8">
        <v>20201.7</v>
      </c>
      <c r="H6" s="8">
        <v>16243.8</v>
      </c>
      <c r="I6" s="8">
        <v>15332.2</v>
      </c>
      <c r="J6" s="8">
        <v>13549.2</v>
      </c>
      <c r="K6" s="8">
        <v>13540.4</v>
      </c>
      <c r="L6" s="8">
        <v>11774.1</v>
      </c>
      <c r="M6" s="8">
        <v>11759.3</v>
      </c>
      <c r="N6" s="8">
        <v>11850</v>
      </c>
      <c r="O6" s="8">
        <v>11563.4</v>
      </c>
      <c r="P6" s="8">
        <v>9946.7000000000007</v>
      </c>
      <c r="Q6" s="8">
        <v>9184.9</v>
      </c>
      <c r="R6" s="8">
        <v>9958.9</v>
      </c>
      <c r="S6" s="8">
        <v>10221.9</v>
      </c>
      <c r="T6" s="8">
        <v>9084.2999999999993</v>
      </c>
      <c r="U6" s="8">
        <v>9133.4</v>
      </c>
      <c r="V6" s="8">
        <v>7712.5</v>
      </c>
      <c r="W6" s="8">
        <v>5949</v>
      </c>
    </row>
    <row r="7" spans="1:24" x14ac:dyDescent="0.25">
      <c r="A7" s="1" t="s">
        <v>168</v>
      </c>
      <c r="B7" s="8">
        <v>4237.6000000000004</v>
      </c>
      <c r="C7" s="8">
        <v>942.6</v>
      </c>
      <c r="D7" s="8">
        <v>5218.5</v>
      </c>
      <c r="E7" s="8">
        <v>1798.8</v>
      </c>
      <c r="F7" s="8">
        <v>1795.9</v>
      </c>
      <c r="G7" s="8">
        <v>2869.4</v>
      </c>
      <c r="H7" s="8">
        <v>3572.9</v>
      </c>
      <c r="I7" s="8">
        <v>2172</v>
      </c>
      <c r="J7" s="8">
        <v>2149</v>
      </c>
      <c r="K7" s="8">
        <v>1272.5999999999999</v>
      </c>
      <c r="L7" s="8">
        <v>1990</v>
      </c>
      <c r="M7" s="8">
        <v>1551.8</v>
      </c>
      <c r="N7" s="8">
        <v>1090.8</v>
      </c>
      <c r="O7" s="8">
        <v>1078</v>
      </c>
      <c r="P7" s="8">
        <v>1153.5999999999999</v>
      </c>
      <c r="Q7" s="8">
        <v>382.4</v>
      </c>
      <c r="R7" s="8">
        <v>581.20000000000005</v>
      </c>
      <c r="S7" s="8">
        <v>773.6</v>
      </c>
      <c r="T7" s="8">
        <v>1376.9</v>
      </c>
      <c r="U7" s="8">
        <v>648</v>
      </c>
      <c r="V7" s="8">
        <v>567.79999999999995</v>
      </c>
      <c r="W7" s="8">
        <v>227.4</v>
      </c>
    </row>
    <row r="8" spans="1:24" x14ac:dyDescent="0.25">
      <c r="A8" s="1" t="s">
        <v>169</v>
      </c>
      <c r="B8" s="12">
        <f>SUM(B6:B7)</f>
        <v>48410.7</v>
      </c>
      <c r="C8" s="12">
        <f>SUM(C6:C7)</f>
        <v>44815.7</v>
      </c>
      <c r="D8" s="12">
        <f t="shared" ref="D8:W8" si="0">SUM(D6:D7)</f>
        <v>42029.4</v>
      </c>
      <c r="E8" s="12">
        <f t="shared" si="0"/>
        <v>34909.100000000006</v>
      </c>
      <c r="F8" s="12">
        <f t="shared" si="0"/>
        <v>29907.4</v>
      </c>
      <c r="G8" s="12">
        <f t="shared" si="0"/>
        <v>23071.100000000002</v>
      </c>
      <c r="H8" s="12">
        <f t="shared" si="0"/>
        <v>19816.7</v>
      </c>
      <c r="I8" s="12">
        <f t="shared" si="0"/>
        <v>17504.2</v>
      </c>
      <c r="J8" s="12">
        <f t="shared" si="0"/>
        <v>15698.2</v>
      </c>
      <c r="K8" s="12">
        <f t="shared" si="0"/>
        <v>14813</v>
      </c>
      <c r="L8" s="12">
        <f t="shared" si="0"/>
        <v>13764.1</v>
      </c>
      <c r="M8" s="12">
        <f t="shared" si="0"/>
        <v>13311.099999999999</v>
      </c>
      <c r="N8" s="12">
        <f t="shared" si="0"/>
        <v>12940.8</v>
      </c>
      <c r="O8" s="12">
        <f t="shared" si="0"/>
        <v>12641.4</v>
      </c>
      <c r="P8" s="12">
        <f t="shared" si="0"/>
        <v>11100.300000000001</v>
      </c>
      <c r="Q8" s="12">
        <f t="shared" si="0"/>
        <v>9567.2999999999993</v>
      </c>
      <c r="R8" s="12">
        <f t="shared" si="0"/>
        <v>10540.1</v>
      </c>
      <c r="S8" s="12">
        <f t="shared" si="0"/>
        <v>10995.5</v>
      </c>
      <c r="T8" s="12">
        <f t="shared" si="0"/>
        <v>10461.199999999999</v>
      </c>
      <c r="U8" s="12">
        <f t="shared" si="0"/>
        <v>9781.4</v>
      </c>
      <c r="V8" s="12">
        <f t="shared" si="0"/>
        <v>8280.2999999999993</v>
      </c>
      <c r="W8" s="12">
        <f t="shared" si="0"/>
        <v>6176.4</v>
      </c>
    </row>
    <row r="9" spans="1:24" x14ac:dyDescent="0.25">
      <c r="A9" s="1" t="s">
        <v>170</v>
      </c>
      <c r="B9" s="8"/>
      <c r="C9" s="8"/>
      <c r="D9" s="8"/>
      <c r="E9" s="8"/>
      <c r="F9" s="8"/>
      <c r="G9" s="8"/>
      <c r="H9" s="8"/>
      <c r="I9" s="8"/>
      <c r="J9" s="8"/>
      <c r="K9" s="8"/>
      <c r="L9" s="8"/>
      <c r="M9" s="8"/>
      <c r="N9" s="8"/>
      <c r="O9" s="8"/>
      <c r="P9" s="8"/>
      <c r="Q9" s="8"/>
      <c r="R9" s="8"/>
      <c r="S9" s="8"/>
      <c r="T9" s="8"/>
      <c r="U9" s="8"/>
      <c r="V9" s="8"/>
      <c r="W9" s="8"/>
    </row>
    <row r="10" spans="1:24" x14ac:dyDescent="0.25">
      <c r="A10" s="1" t="s">
        <v>92</v>
      </c>
      <c r="B10" s="8">
        <v>1254.4000000000001</v>
      </c>
      <c r="C10" s="8">
        <v>1639.9</v>
      </c>
      <c r="D10" s="8">
        <v>1447.9</v>
      </c>
      <c r="E10" s="8">
        <v>1038.9000000000001</v>
      </c>
      <c r="F10" s="8">
        <v>1033.9000000000001</v>
      </c>
      <c r="G10" s="8">
        <v>803.8</v>
      </c>
      <c r="H10" s="8">
        <v>853.5</v>
      </c>
      <c r="I10" s="8">
        <v>782.6</v>
      </c>
      <c r="J10" s="8">
        <v>827.5</v>
      </c>
      <c r="K10" s="8">
        <v>711.2</v>
      </c>
      <c r="L10" s="8">
        <v>812.4</v>
      </c>
      <c r="M10" s="8">
        <v>806.3</v>
      </c>
      <c r="N10" s="8">
        <v>1157.5999999999999</v>
      </c>
      <c r="O10" s="8">
        <v>1255.8</v>
      </c>
      <c r="P10" s="8">
        <v>1150</v>
      </c>
      <c r="Q10" s="8">
        <v>2270.3000000000002</v>
      </c>
      <c r="R10" s="8">
        <v>1781</v>
      </c>
      <c r="S10" s="8">
        <v>1220.3</v>
      </c>
      <c r="T10" s="8">
        <v>768.9</v>
      </c>
      <c r="U10" s="8">
        <v>778.8</v>
      </c>
      <c r="V10" s="8">
        <v>656.7</v>
      </c>
      <c r="W10" s="8">
        <v>713.9</v>
      </c>
    </row>
    <row r="11" spans="1:24" x14ac:dyDescent="0.25">
      <c r="A11" s="1" t="s">
        <v>171</v>
      </c>
      <c r="B11" s="8">
        <v>2665.3</v>
      </c>
      <c r="C11" s="8">
        <v>5058.5</v>
      </c>
      <c r="D11" s="8">
        <v>4053</v>
      </c>
      <c r="E11" s="8">
        <v>3306.3</v>
      </c>
      <c r="F11" s="8">
        <v>2626.1</v>
      </c>
      <c r="G11" s="8">
        <v>3399.8</v>
      </c>
      <c r="H11" s="8">
        <v>2812.4</v>
      </c>
      <c r="I11" s="8">
        <v>2650.5</v>
      </c>
      <c r="J11" s="8">
        <v>2492.3000000000002</v>
      </c>
      <c r="K11" s="8">
        <v>2530.5</v>
      </c>
      <c r="L11" s="8">
        <v>1899</v>
      </c>
      <c r="M11" s="8">
        <v>1845.6</v>
      </c>
      <c r="N11" s="8">
        <v>1425</v>
      </c>
      <c r="O11" s="8">
        <v>816.2</v>
      </c>
      <c r="P11" s="8">
        <v>727.8</v>
      </c>
      <c r="Q11" s="8">
        <v>2327.5</v>
      </c>
      <c r="R11" s="8">
        <v>2368.1</v>
      </c>
      <c r="S11" s="8">
        <v>2058.9</v>
      </c>
      <c r="T11" s="8">
        <v>1851.9</v>
      </c>
      <c r="U11" s="8">
        <v>1972.1</v>
      </c>
      <c r="V11" s="8">
        <v>1347.3</v>
      </c>
      <c r="W11" s="8">
        <v>1336</v>
      </c>
    </row>
    <row r="12" spans="1:24" x14ac:dyDescent="0.25">
      <c r="A12" s="1" t="s">
        <v>94</v>
      </c>
      <c r="B12" s="39">
        <f>SUM(B10:B11)</f>
        <v>3919.7000000000003</v>
      </c>
      <c r="C12" s="39">
        <f>SUM(C10:C11)</f>
        <v>6698.4</v>
      </c>
      <c r="D12" s="39">
        <f t="shared" ref="D12:W12" si="1">SUM(D10:D11)</f>
        <v>5500.9</v>
      </c>
      <c r="E12" s="39">
        <f t="shared" si="1"/>
        <v>4345.2000000000007</v>
      </c>
      <c r="F12" s="39">
        <f t="shared" si="1"/>
        <v>3660</v>
      </c>
      <c r="G12" s="39">
        <f t="shared" si="1"/>
        <v>4203.6000000000004</v>
      </c>
      <c r="H12" s="39">
        <f t="shared" si="1"/>
        <v>3665.9</v>
      </c>
      <c r="I12" s="39">
        <f t="shared" si="1"/>
        <v>3433.1</v>
      </c>
      <c r="J12" s="39">
        <f t="shared" si="1"/>
        <v>3319.8</v>
      </c>
      <c r="K12" s="39">
        <f t="shared" si="1"/>
        <v>3241.7</v>
      </c>
      <c r="L12" s="39">
        <f t="shared" si="1"/>
        <v>2711.4</v>
      </c>
      <c r="M12" s="39">
        <f t="shared" si="1"/>
        <v>2651.8999999999996</v>
      </c>
      <c r="N12" s="39">
        <f t="shared" si="1"/>
        <v>2582.6</v>
      </c>
      <c r="O12" s="39">
        <f t="shared" si="1"/>
        <v>2072</v>
      </c>
      <c r="P12" s="39">
        <f t="shared" si="1"/>
        <v>1877.8</v>
      </c>
      <c r="Q12" s="39">
        <f t="shared" si="1"/>
        <v>4597.8</v>
      </c>
      <c r="R12" s="39">
        <f t="shared" si="1"/>
        <v>4149.1000000000004</v>
      </c>
      <c r="S12" s="39">
        <f t="shared" si="1"/>
        <v>3279.2</v>
      </c>
      <c r="T12" s="39">
        <f t="shared" si="1"/>
        <v>2620.8000000000002</v>
      </c>
      <c r="U12" s="39">
        <f t="shared" si="1"/>
        <v>2750.8999999999996</v>
      </c>
      <c r="V12" s="39">
        <f t="shared" si="1"/>
        <v>2004</v>
      </c>
      <c r="W12" s="39">
        <f t="shared" si="1"/>
        <v>2049.9</v>
      </c>
    </row>
    <row r="13" spans="1:24" x14ac:dyDescent="0.25">
      <c r="A13" s="1" t="s">
        <v>0</v>
      </c>
      <c r="B13" s="40">
        <f>B12+B8</f>
        <v>52330.399999999994</v>
      </c>
      <c r="C13" s="40">
        <f t="shared" ref="C13:W13" si="2">C12+C8</f>
        <v>51514.1</v>
      </c>
      <c r="D13" s="40">
        <f t="shared" si="2"/>
        <v>47530.3</v>
      </c>
      <c r="E13" s="40">
        <f t="shared" si="2"/>
        <v>39254.300000000003</v>
      </c>
      <c r="F13" s="40">
        <f t="shared" si="2"/>
        <v>33567.4</v>
      </c>
      <c r="G13" s="40">
        <f t="shared" si="2"/>
        <v>27274.700000000004</v>
      </c>
      <c r="H13" s="40">
        <f t="shared" si="2"/>
        <v>23482.600000000002</v>
      </c>
      <c r="I13" s="40">
        <f t="shared" si="2"/>
        <v>20937.3</v>
      </c>
      <c r="J13" s="40">
        <f t="shared" si="2"/>
        <v>19018</v>
      </c>
      <c r="K13" s="40">
        <f t="shared" si="2"/>
        <v>18054.7</v>
      </c>
      <c r="L13" s="40">
        <f t="shared" si="2"/>
        <v>16475.5</v>
      </c>
      <c r="M13" s="40">
        <f t="shared" si="2"/>
        <v>15962.999999999998</v>
      </c>
      <c r="N13" s="40">
        <f t="shared" si="2"/>
        <v>15523.4</v>
      </c>
      <c r="O13" s="40">
        <f t="shared" si="2"/>
        <v>14713.4</v>
      </c>
      <c r="P13" s="40">
        <f t="shared" si="2"/>
        <v>12978.1</v>
      </c>
      <c r="Q13" s="40">
        <f t="shared" si="2"/>
        <v>14165.099999999999</v>
      </c>
      <c r="R13" s="40">
        <f t="shared" si="2"/>
        <v>14689.2</v>
      </c>
      <c r="S13" s="40">
        <f t="shared" si="2"/>
        <v>14274.7</v>
      </c>
      <c r="T13" s="40">
        <f t="shared" si="2"/>
        <v>13082</v>
      </c>
      <c r="U13" s="40">
        <f t="shared" si="2"/>
        <v>12532.3</v>
      </c>
      <c r="V13" s="40">
        <f t="shared" si="2"/>
        <v>10284.299999999999</v>
      </c>
      <c r="W13" s="40">
        <f t="shared" si="2"/>
        <v>8226.2999999999993</v>
      </c>
    </row>
    <row r="14" spans="1:24" x14ac:dyDescent="0.25">
      <c r="A14" s="1" t="s">
        <v>172</v>
      </c>
      <c r="B14" s="31">
        <v>350.9</v>
      </c>
      <c r="C14" s="31">
        <v>187.1</v>
      </c>
      <c r="D14" s="31">
        <v>76.5</v>
      </c>
      <c r="E14" s="31">
        <v>226.2</v>
      </c>
      <c r="F14" s="31">
        <v>69.5</v>
      </c>
      <c r="G14" s="31">
        <v>265</v>
      </c>
      <c r="H14" s="31">
        <v>211.5</v>
      </c>
      <c r="I14" s="31">
        <v>224.1</v>
      </c>
      <c r="J14" s="31">
        <v>108.4</v>
      </c>
      <c r="K14" s="31">
        <v>75.099999999999994</v>
      </c>
      <c r="L14" s="31">
        <v>179.1</v>
      </c>
      <c r="M14" s="31">
        <v>155.69999999999999</v>
      </c>
      <c r="N14" s="8">
        <v>158.9</v>
      </c>
      <c r="O14" s="8">
        <v>160.69999999999999</v>
      </c>
      <c r="P14" s="8">
        <v>2.9</v>
      </c>
      <c r="Q14" s="8">
        <v>5.8</v>
      </c>
      <c r="R14" s="8">
        <v>5.6</v>
      </c>
      <c r="S14" s="8">
        <v>5.6</v>
      </c>
      <c r="T14" s="8">
        <v>20</v>
      </c>
      <c r="U14" s="8">
        <v>12.1</v>
      </c>
      <c r="V14" s="8">
        <v>16.899999999999999</v>
      </c>
      <c r="W14" s="8">
        <v>11.2</v>
      </c>
      <c r="X14" s="32"/>
    </row>
    <row r="15" spans="1:24" x14ac:dyDescent="0.25">
      <c r="A15" s="1" t="s">
        <v>173</v>
      </c>
      <c r="B15" s="31">
        <v>14.4</v>
      </c>
      <c r="C15" s="31">
        <v>15</v>
      </c>
      <c r="D15" s="31">
        <v>0</v>
      </c>
      <c r="E15" s="31">
        <v>1.2</v>
      </c>
      <c r="F15" s="31">
        <v>5.5</v>
      </c>
      <c r="G15" s="31">
        <v>10.3</v>
      </c>
      <c r="H15" s="31">
        <v>14.9</v>
      </c>
      <c r="I15" s="31">
        <v>0.3</v>
      </c>
      <c r="J15" s="31">
        <v>0</v>
      </c>
      <c r="K15" s="31">
        <v>0</v>
      </c>
      <c r="L15" s="31">
        <v>0</v>
      </c>
      <c r="M15" s="31">
        <v>0</v>
      </c>
      <c r="N15" s="31">
        <v>0</v>
      </c>
      <c r="O15" s="31">
        <v>0</v>
      </c>
      <c r="P15" s="31">
        <v>0</v>
      </c>
      <c r="Q15" s="31">
        <v>0</v>
      </c>
      <c r="R15" s="31">
        <v>0</v>
      </c>
      <c r="S15" s="31">
        <v>0</v>
      </c>
      <c r="T15" s="31">
        <v>0</v>
      </c>
      <c r="U15" s="31">
        <v>0</v>
      </c>
      <c r="V15" s="31">
        <v>0</v>
      </c>
      <c r="W15" s="31">
        <v>0</v>
      </c>
      <c r="X15" s="32"/>
    </row>
    <row r="16" spans="1:24" x14ac:dyDescent="0.25">
      <c r="A16" s="1" t="s">
        <v>174</v>
      </c>
      <c r="B16" s="41">
        <f>SUM(B14:B15)</f>
        <v>365.29999999999995</v>
      </c>
      <c r="C16" s="41">
        <f t="shared" ref="C16:W16" si="3">SUM(C14:C15)</f>
        <v>202.1</v>
      </c>
      <c r="D16" s="41">
        <f t="shared" si="3"/>
        <v>76.5</v>
      </c>
      <c r="E16" s="41">
        <f t="shared" si="3"/>
        <v>227.39999999999998</v>
      </c>
      <c r="F16" s="41">
        <f t="shared" si="3"/>
        <v>75</v>
      </c>
      <c r="G16" s="41">
        <f t="shared" si="3"/>
        <v>275.3</v>
      </c>
      <c r="H16" s="41">
        <f t="shared" si="3"/>
        <v>226.4</v>
      </c>
      <c r="I16" s="41">
        <f t="shared" si="3"/>
        <v>224.4</v>
      </c>
      <c r="J16" s="41">
        <f t="shared" si="3"/>
        <v>108.4</v>
      </c>
      <c r="K16" s="41">
        <f t="shared" si="3"/>
        <v>75.099999999999994</v>
      </c>
      <c r="L16" s="41">
        <f t="shared" si="3"/>
        <v>179.1</v>
      </c>
      <c r="M16" s="41">
        <f t="shared" si="3"/>
        <v>155.69999999999999</v>
      </c>
      <c r="N16" s="41">
        <f t="shared" si="3"/>
        <v>158.9</v>
      </c>
      <c r="O16" s="41">
        <f t="shared" si="3"/>
        <v>160.69999999999999</v>
      </c>
      <c r="P16" s="41">
        <f t="shared" si="3"/>
        <v>2.9</v>
      </c>
      <c r="Q16" s="41">
        <f t="shared" si="3"/>
        <v>5.8</v>
      </c>
      <c r="R16" s="41">
        <f t="shared" si="3"/>
        <v>5.6</v>
      </c>
      <c r="S16" s="41">
        <f t="shared" si="3"/>
        <v>5.6</v>
      </c>
      <c r="T16" s="41">
        <f t="shared" si="3"/>
        <v>20</v>
      </c>
      <c r="U16" s="41">
        <f t="shared" si="3"/>
        <v>12.1</v>
      </c>
      <c r="V16" s="41">
        <f t="shared" si="3"/>
        <v>16.899999999999999</v>
      </c>
      <c r="W16" s="41">
        <f t="shared" si="3"/>
        <v>11.2</v>
      </c>
      <c r="X16" s="32"/>
    </row>
    <row r="17" spans="1:23" x14ac:dyDescent="0.25">
      <c r="A17" s="1" t="s">
        <v>176</v>
      </c>
      <c r="B17" s="31">
        <v>217.4</v>
      </c>
      <c r="C17" s="31">
        <v>181.7</v>
      </c>
      <c r="D17" s="31">
        <v>176.4</v>
      </c>
      <c r="E17" s="31">
        <v>181.3</v>
      </c>
      <c r="F17" s="31">
        <v>190.8</v>
      </c>
      <c r="G17" s="31">
        <v>119.7</v>
      </c>
      <c r="H17" s="31">
        <v>103.9</v>
      </c>
      <c r="I17" s="31">
        <v>102.2</v>
      </c>
      <c r="J17" s="31">
        <v>87.3</v>
      </c>
      <c r="K17" s="31">
        <v>89.8</v>
      </c>
      <c r="L17" s="31">
        <v>90</v>
      </c>
      <c r="M17" s="31">
        <v>105.7</v>
      </c>
      <c r="N17" s="8">
        <v>109.3</v>
      </c>
      <c r="O17" s="8">
        <v>110.4</v>
      </c>
      <c r="P17" s="8">
        <v>125.7</v>
      </c>
      <c r="Q17" s="8">
        <v>142.1</v>
      </c>
      <c r="R17" s="8">
        <v>134.4</v>
      </c>
      <c r="S17" s="8">
        <v>133.1</v>
      </c>
      <c r="T17" s="8">
        <v>103.5</v>
      </c>
      <c r="U17" s="8">
        <v>97.4</v>
      </c>
      <c r="V17" s="8">
        <v>77.900000000000006</v>
      </c>
      <c r="W17" s="8">
        <v>75.2</v>
      </c>
    </row>
    <row r="18" spans="1:23" x14ac:dyDescent="0.25">
      <c r="A18" s="1" t="s">
        <v>177</v>
      </c>
      <c r="B18" s="8">
        <v>10867.7</v>
      </c>
      <c r="C18" s="8">
        <v>9399.5</v>
      </c>
      <c r="D18" s="8">
        <v>8160.1</v>
      </c>
      <c r="E18" s="8">
        <v>7507.3</v>
      </c>
      <c r="F18" s="8">
        <v>6497.1</v>
      </c>
      <c r="G18" s="8">
        <v>5422.5</v>
      </c>
      <c r="H18" s="8">
        <v>4509.2</v>
      </c>
      <c r="I18" s="8">
        <v>3987.7</v>
      </c>
      <c r="J18" s="8">
        <v>3537.5</v>
      </c>
      <c r="K18" s="8">
        <v>3310.7</v>
      </c>
      <c r="L18" s="8">
        <v>3183.7</v>
      </c>
      <c r="M18" s="8">
        <v>2929.8</v>
      </c>
      <c r="N18" s="8">
        <v>2738.4</v>
      </c>
      <c r="O18" s="8">
        <v>2454.8000000000002</v>
      </c>
      <c r="P18" s="8">
        <v>2408.6</v>
      </c>
      <c r="Q18" s="8">
        <v>2395.1</v>
      </c>
      <c r="R18" s="8">
        <v>2498.1999999999998</v>
      </c>
      <c r="S18" s="8">
        <v>2500.6999999999998</v>
      </c>
      <c r="T18" s="8">
        <v>2287.1999999999998</v>
      </c>
      <c r="U18" s="8">
        <v>2079.6</v>
      </c>
      <c r="V18" s="8">
        <v>1742.8</v>
      </c>
      <c r="W18" s="8">
        <v>1497.1</v>
      </c>
    </row>
    <row r="19" spans="1:23" x14ac:dyDescent="0.25">
      <c r="A19" s="1" t="s">
        <v>178</v>
      </c>
      <c r="B19" s="31">
        <v>6306.8</v>
      </c>
      <c r="C19" s="31">
        <v>4980.5</v>
      </c>
      <c r="D19" s="31">
        <v>4019.4</v>
      </c>
      <c r="E19" s="31">
        <v>3378.9</v>
      </c>
      <c r="F19" s="31">
        <v>2696.1</v>
      </c>
      <c r="G19" s="31">
        <v>2273.4</v>
      </c>
      <c r="H19" s="31">
        <v>1884.8</v>
      </c>
      <c r="I19" s="31">
        <v>1488.8</v>
      </c>
      <c r="J19" s="31">
        <v>1231.9000000000001</v>
      </c>
      <c r="K19" s="31">
        <v>1090.2</v>
      </c>
      <c r="L19" s="31">
        <v>901</v>
      </c>
      <c r="M19" s="31">
        <v>818</v>
      </c>
      <c r="N19" s="8">
        <v>741.5</v>
      </c>
      <c r="O19" s="8">
        <v>564.79999999999995</v>
      </c>
      <c r="P19" s="8">
        <v>288.5</v>
      </c>
      <c r="Q19" s="8">
        <v>335.1</v>
      </c>
      <c r="R19" s="8">
        <v>433.8</v>
      </c>
      <c r="S19" s="8">
        <v>405.7</v>
      </c>
      <c r="T19" s="8">
        <v>381.6</v>
      </c>
      <c r="U19" s="8">
        <v>271.3</v>
      </c>
      <c r="V19" s="8">
        <v>215.7</v>
      </c>
      <c r="W19" s="8">
        <v>201.5</v>
      </c>
    </row>
    <row r="20" spans="1:23" x14ac:dyDescent="0.25">
      <c r="A20" s="1" t="s">
        <v>179</v>
      </c>
      <c r="B20" s="31">
        <v>367.5</v>
      </c>
      <c r="C20" s="31">
        <v>457.6</v>
      </c>
      <c r="D20" s="31">
        <v>368.1</v>
      </c>
      <c r="E20" s="31">
        <v>626.5</v>
      </c>
      <c r="F20" s="31">
        <v>309.7</v>
      </c>
      <c r="G20" s="31">
        <v>203.3</v>
      </c>
      <c r="H20" s="31">
        <v>170.5</v>
      </c>
      <c r="I20" s="31">
        <v>199.3</v>
      </c>
      <c r="J20" s="31">
        <v>85.3</v>
      </c>
      <c r="K20" s="31">
        <v>74.900000000000006</v>
      </c>
      <c r="L20" s="31">
        <v>66.3</v>
      </c>
      <c r="M20" s="31">
        <v>69.8</v>
      </c>
      <c r="N20" s="8">
        <v>88.1</v>
      </c>
      <c r="O20" s="8">
        <v>69.3</v>
      </c>
      <c r="P20" s="8">
        <v>62.4</v>
      </c>
      <c r="Q20" s="8">
        <v>69.8</v>
      </c>
      <c r="R20" s="8">
        <v>89.5</v>
      </c>
      <c r="S20" s="8">
        <v>103.7</v>
      </c>
      <c r="T20" s="8">
        <v>119.8</v>
      </c>
      <c r="U20" s="8">
        <v>114.7</v>
      </c>
      <c r="V20" s="8">
        <v>96.7</v>
      </c>
      <c r="W20" s="8">
        <v>77.599999999999994</v>
      </c>
    </row>
    <row r="21" spans="1:23" x14ac:dyDescent="0.25">
      <c r="A21" s="1" t="s">
        <v>180</v>
      </c>
      <c r="B21" s="8">
        <v>1585.2</v>
      </c>
      <c r="C21" s="8">
        <v>1355.6</v>
      </c>
      <c r="D21" s="8">
        <v>1237.2</v>
      </c>
      <c r="E21" s="8">
        <v>1056.5</v>
      </c>
      <c r="F21" s="8">
        <v>951.6</v>
      </c>
      <c r="G21" s="8">
        <v>780.5</v>
      </c>
      <c r="H21" s="8">
        <v>651.20000000000005</v>
      </c>
      <c r="I21" s="8">
        <v>564.1</v>
      </c>
      <c r="J21" s="8">
        <v>457.2</v>
      </c>
      <c r="K21" s="8">
        <v>447.6</v>
      </c>
      <c r="L21" s="8">
        <v>434.5</v>
      </c>
      <c r="M21" s="8">
        <v>433.6</v>
      </c>
      <c r="N21" s="8">
        <v>417.2</v>
      </c>
      <c r="O21" s="8">
        <v>402.2</v>
      </c>
      <c r="P21" s="8">
        <v>414</v>
      </c>
      <c r="Q21" s="8">
        <v>426.3</v>
      </c>
      <c r="R21" s="8">
        <v>441</v>
      </c>
      <c r="S21" s="8">
        <v>444.8</v>
      </c>
      <c r="T21" s="8">
        <v>432.2</v>
      </c>
      <c r="U21" s="8">
        <v>412.3</v>
      </c>
      <c r="V21" s="8">
        <v>363.5</v>
      </c>
      <c r="W21" s="8">
        <v>316.60000000000002</v>
      </c>
    </row>
    <row r="22" spans="1:23" x14ac:dyDescent="0.25">
      <c r="A22" s="1" t="s">
        <v>181</v>
      </c>
      <c r="B22" s="31">
        <v>1067.0999999999999</v>
      </c>
      <c r="C22" s="31">
        <v>1137.3</v>
      </c>
      <c r="D22" s="31">
        <v>1106</v>
      </c>
      <c r="E22" s="31">
        <v>1213.7</v>
      </c>
      <c r="F22" s="31">
        <v>1131.7</v>
      </c>
      <c r="G22" s="31">
        <v>1119.5999999999999</v>
      </c>
      <c r="H22" s="31">
        <v>1177.0999999999999</v>
      </c>
      <c r="I22" s="31">
        <v>1037.2</v>
      </c>
      <c r="J22" s="31">
        <v>960.6</v>
      </c>
      <c r="K22" s="31">
        <v>960.9</v>
      </c>
      <c r="L22" s="31">
        <v>933.7</v>
      </c>
      <c r="M22" s="31">
        <v>911.3</v>
      </c>
      <c r="N22" s="8">
        <v>932.6</v>
      </c>
      <c r="O22" s="8">
        <v>961.3</v>
      </c>
      <c r="P22" s="8">
        <v>997.1</v>
      </c>
      <c r="Q22" s="8">
        <v>1000.4</v>
      </c>
      <c r="R22" s="8">
        <v>973.4</v>
      </c>
      <c r="S22" s="8">
        <v>758.7</v>
      </c>
      <c r="T22" s="8">
        <v>666.5</v>
      </c>
      <c r="U22" s="8">
        <v>584.70000000000005</v>
      </c>
      <c r="V22" s="8">
        <v>503.1</v>
      </c>
      <c r="W22" s="8">
        <v>498</v>
      </c>
    </row>
    <row r="23" spans="1:23" x14ac:dyDescent="0.25">
      <c r="A23" s="1" t="s">
        <v>182</v>
      </c>
      <c r="B23" s="31">
        <v>227.9</v>
      </c>
      <c r="C23" s="31">
        <v>452.7</v>
      </c>
      <c r="D23" s="31">
        <v>452.7</v>
      </c>
      <c r="E23" s="31">
        <v>452.7</v>
      </c>
      <c r="F23" s="31">
        <v>452.7</v>
      </c>
      <c r="G23" s="31">
        <v>452.7</v>
      </c>
      <c r="H23" s="31">
        <v>449.4</v>
      </c>
      <c r="I23" s="31">
        <v>447.6</v>
      </c>
      <c r="J23" s="31">
        <v>1.6</v>
      </c>
      <c r="K23" s="31">
        <v>0</v>
      </c>
      <c r="L23" s="31">
        <v>0</v>
      </c>
      <c r="M23" s="31">
        <v>0</v>
      </c>
      <c r="N23" s="31">
        <v>0</v>
      </c>
      <c r="O23" s="31">
        <v>0</v>
      </c>
      <c r="P23" s="31">
        <v>0</v>
      </c>
      <c r="Q23" s="31">
        <v>0</v>
      </c>
      <c r="R23" s="31">
        <v>0</v>
      </c>
      <c r="S23" s="31">
        <v>0</v>
      </c>
      <c r="T23" s="31">
        <v>0</v>
      </c>
      <c r="U23" s="31">
        <v>0</v>
      </c>
      <c r="V23" s="31">
        <v>0</v>
      </c>
      <c r="W23" s="31">
        <v>0</v>
      </c>
    </row>
    <row r="24" spans="1:23" x14ac:dyDescent="0.25">
      <c r="A24" s="1" t="s">
        <v>183</v>
      </c>
      <c r="B24" s="31">
        <v>91.8</v>
      </c>
      <c r="C24" s="31">
        <v>117.3</v>
      </c>
      <c r="D24" s="31">
        <v>171.4</v>
      </c>
      <c r="E24" s="31">
        <v>228.3</v>
      </c>
      <c r="F24" s="31">
        <v>294.60000000000002</v>
      </c>
      <c r="G24" s="31">
        <v>366.6</v>
      </c>
      <c r="H24" s="31">
        <v>432.8</v>
      </c>
      <c r="I24" s="31">
        <v>494.9</v>
      </c>
      <c r="J24" s="31">
        <v>11.3</v>
      </c>
      <c r="K24" s="31">
        <v>0</v>
      </c>
      <c r="L24" s="31">
        <v>0</v>
      </c>
      <c r="M24" s="31">
        <v>0</v>
      </c>
      <c r="N24" s="31">
        <v>0</v>
      </c>
      <c r="O24" s="31">
        <v>0</v>
      </c>
      <c r="P24" s="31">
        <v>0</v>
      </c>
      <c r="Q24" s="31">
        <v>0</v>
      </c>
      <c r="R24" s="31">
        <v>0</v>
      </c>
      <c r="S24" s="31">
        <v>0</v>
      </c>
      <c r="T24" s="31">
        <v>0</v>
      </c>
      <c r="U24" s="31">
        <v>0</v>
      </c>
      <c r="V24" s="31">
        <v>0</v>
      </c>
      <c r="W24" s="31">
        <v>0</v>
      </c>
    </row>
    <row r="25" spans="1:23" x14ac:dyDescent="0.25">
      <c r="A25" s="1" t="s">
        <v>175</v>
      </c>
      <c r="B25" s="31">
        <v>1269.5</v>
      </c>
      <c r="C25" s="31">
        <v>0</v>
      </c>
      <c r="D25" s="31">
        <v>0</v>
      </c>
      <c r="E25" s="31">
        <v>0</v>
      </c>
      <c r="F25" s="31">
        <v>43.2</v>
      </c>
      <c r="G25" s="31">
        <v>0</v>
      </c>
      <c r="H25" s="31">
        <v>0</v>
      </c>
      <c r="I25" s="31">
        <v>0</v>
      </c>
      <c r="J25" s="31">
        <v>0</v>
      </c>
      <c r="K25" s="31">
        <v>0</v>
      </c>
      <c r="L25" s="31">
        <v>109.4</v>
      </c>
      <c r="M25" s="31">
        <v>208</v>
      </c>
      <c r="N25" s="8">
        <v>189</v>
      </c>
      <c r="O25" s="8">
        <v>416.7</v>
      </c>
      <c r="P25" s="8">
        <v>821.6</v>
      </c>
      <c r="Q25" s="8">
        <v>106</v>
      </c>
      <c r="R25" s="8">
        <v>16.8</v>
      </c>
      <c r="S25" s="8">
        <v>138.30000000000001</v>
      </c>
      <c r="T25" s="8">
        <v>0</v>
      </c>
      <c r="U25" s="8">
        <v>81.599999999999994</v>
      </c>
      <c r="V25" s="8">
        <v>219.2</v>
      </c>
      <c r="W25" s="8">
        <v>178.1</v>
      </c>
    </row>
    <row r="26" spans="1:23" x14ac:dyDescent="0.25">
      <c r="A26" s="1" t="s">
        <v>184</v>
      </c>
      <c r="B26" s="8">
        <v>827.6</v>
      </c>
      <c r="C26" s="8">
        <v>1333.9</v>
      </c>
      <c r="D26" s="8">
        <v>800.2</v>
      </c>
      <c r="E26" s="8">
        <v>768.4</v>
      </c>
      <c r="F26" s="8">
        <v>365.1</v>
      </c>
      <c r="G26" s="8">
        <v>412.9</v>
      </c>
      <c r="H26" s="8">
        <v>339.6</v>
      </c>
      <c r="I26" s="8">
        <v>335.8</v>
      </c>
      <c r="J26" s="8">
        <v>288.5</v>
      </c>
      <c r="K26" s="8">
        <v>304.3</v>
      </c>
      <c r="L26" s="8">
        <v>321.5</v>
      </c>
      <c r="M26" s="8">
        <v>249.9</v>
      </c>
      <c r="N26" s="8">
        <v>251.9</v>
      </c>
      <c r="O26" s="8">
        <v>195.7</v>
      </c>
      <c r="P26" s="8">
        <v>151.6</v>
      </c>
      <c r="Q26" s="8">
        <v>197.4</v>
      </c>
      <c r="R26" s="8">
        <v>200.2</v>
      </c>
      <c r="S26" s="8">
        <v>133.30000000000001</v>
      </c>
      <c r="T26" s="8">
        <v>91.5</v>
      </c>
      <c r="U26" s="8">
        <v>95.5</v>
      </c>
      <c r="V26" s="8">
        <v>44.3</v>
      </c>
      <c r="W26" s="8">
        <v>40.799999999999997</v>
      </c>
    </row>
    <row r="27" spans="1:23" ht="20" thickBot="1" x14ac:dyDescent="0.3">
      <c r="A27" s="3" t="s">
        <v>3</v>
      </c>
      <c r="B27" s="13">
        <f t="shared" ref="B27:W27" si="4">B13+B16+SUM(B17:B26)</f>
        <v>75524.2</v>
      </c>
      <c r="C27" s="13">
        <f t="shared" si="4"/>
        <v>71132.3</v>
      </c>
      <c r="D27" s="13">
        <f t="shared" si="4"/>
        <v>64098.3</v>
      </c>
      <c r="E27" s="13">
        <f t="shared" si="4"/>
        <v>54895.3</v>
      </c>
      <c r="F27" s="13">
        <f t="shared" si="4"/>
        <v>46575.000000000007</v>
      </c>
      <c r="G27" s="13">
        <f t="shared" si="4"/>
        <v>38701.200000000004</v>
      </c>
      <c r="H27" s="13">
        <f t="shared" si="4"/>
        <v>33427.5</v>
      </c>
      <c r="I27" s="13">
        <f t="shared" si="4"/>
        <v>29819.300000000003</v>
      </c>
      <c r="J27" s="13">
        <f t="shared" si="4"/>
        <v>25787.600000000002</v>
      </c>
      <c r="K27" s="13">
        <f t="shared" si="4"/>
        <v>24408.199999999997</v>
      </c>
      <c r="L27" s="13">
        <f t="shared" si="4"/>
        <v>22694.699999999997</v>
      </c>
      <c r="M27" s="13">
        <f t="shared" si="4"/>
        <v>21844.799999999999</v>
      </c>
      <c r="N27" s="13">
        <f t="shared" si="4"/>
        <v>21150.3</v>
      </c>
      <c r="O27" s="13">
        <f t="shared" si="4"/>
        <v>20049.3</v>
      </c>
      <c r="P27" s="13">
        <f t="shared" si="4"/>
        <v>18250.5</v>
      </c>
      <c r="Q27" s="13">
        <f t="shared" si="4"/>
        <v>18843.099999999999</v>
      </c>
      <c r="R27" s="13">
        <f t="shared" si="4"/>
        <v>19482.100000000002</v>
      </c>
      <c r="S27" s="13">
        <f t="shared" si="4"/>
        <v>18898.600000000002</v>
      </c>
      <c r="T27" s="13">
        <f t="shared" si="4"/>
        <v>17184.3</v>
      </c>
      <c r="U27" s="13">
        <f t="shared" si="4"/>
        <v>16281.5</v>
      </c>
      <c r="V27" s="13">
        <f t="shared" si="4"/>
        <v>13564.399999999998</v>
      </c>
      <c r="W27" s="13">
        <f t="shared" si="4"/>
        <v>11122.4</v>
      </c>
    </row>
    <row r="28" spans="1:23" ht="20" thickTop="1" x14ac:dyDescent="0.25">
      <c r="A28" s="3" t="s">
        <v>186</v>
      </c>
      <c r="B28" s="9"/>
      <c r="C28" s="9"/>
      <c r="D28" s="9"/>
      <c r="E28" s="9"/>
      <c r="F28" s="9"/>
      <c r="G28" s="9"/>
      <c r="H28" s="9"/>
      <c r="I28" s="8"/>
      <c r="J28" s="8"/>
      <c r="K28" s="8"/>
      <c r="L28" s="8"/>
      <c r="M28" s="8"/>
      <c r="N28" s="8"/>
      <c r="O28" s="8"/>
      <c r="P28" s="8"/>
      <c r="Q28" s="8"/>
      <c r="R28" s="8"/>
      <c r="S28" s="8"/>
      <c r="T28" s="8"/>
      <c r="U28" s="8"/>
      <c r="V28" s="8"/>
      <c r="W28" s="8"/>
    </row>
    <row r="29" spans="1:23" x14ac:dyDescent="0.25">
      <c r="A29" s="3" t="s">
        <v>196</v>
      </c>
      <c r="B29" s="9"/>
      <c r="C29" s="9"/>
      <c r="D29" s="9"/>
      <c r="E29" s="9"/>
      <c r="F29" s="9"/>
      <c r="G29" s="9"/>
      <c r="H29" s="9"/>
      <c r="I29" s="8"/>
      <c r="J29" s="8"/>
      <c r="K29" s="8"/>
      <c r="L29" s="8"/>
      <c r="M29" s="8"/>
      <c r="N29" s="8"/>
      <c r="O29" s="8"/>
      <c r="P29" s="8"/>
      <c r="Q29" s="8"/>
      <c r="R29" s="8"/>
      <c r="S29" s="8"/>
      <c r="T29" s="8"/>
      <c r="U29" s="8"/>
      <c r="V29" s="8"/>
      <c r="W29" s="8"/>
    </row>
    <row r="30" spans="1:23" x14ac:dyDescent="0.25">
      <c r="A30" s="1" t="s">
        <v>4</v>
      </c>
      <c r="B30" s="8">
        <v>17796.900000000001</v>
      </c>
      <c r="C30" s="8">
        <v>15615.8</v>
      </c>
      <c r="D30" s="8">
        <v>13437.5</v>
      </c>
      <c r="E30" s="8">
        <v>12388.8</v>
      </c>
      <c r="F30" s="8">
        <v>10686.5</v>
      </c>
      <c r="G30" s="8">
        <v>8903.5</v>
      </c>
      <c r="H30" s="8">
        <v>7468.3</v>
      </c>
      <c r="I30" s="8">
        <v>6621.8</v>
      </c>
      <c r="J30" s="8">
        <v>5440.1</v>
      </c>
      <c r="K30" s="8">
        <v>5174.5</v>
      </c>
      <c r="L30" s="8">
        <v>4930.7</v>
      </c>
      <c r="M30" s="8">
        <v>4579.3999999999996</v>
      </c>
      <c r="N30" s="8">
        <v>4353.8</v>
      </c>
      <c r="O30" s="8">
        <v>4172.8999999999996</v>
      </c>
      <c r="P30" s="8">
        <v>4175.8999999999996</v>
      </c>
      <c r="Q30" s="8">
        <v>4210.3999999999996</v>
      </c>
      <c r="R30" s="8">
        <v>4335</v>
      </c>
      <c r="S30" s="8">
        <v>4335.1000000000004</v>
      </c>
      <c r="T30" s="8">
        <v>4108</v>
      </c>
      <c r="U30" s="8">
        <v>3894.7</v>
      </c>
      <c r="V30" s="8">
        <v>3304.3</v>
      </c>
      <c r="W30" s="8">
        <v>2716.7</v>
      </c>
    </row>
    <row r="31" spans="1:23" x14ac:dyDescent="0.25">
      <c r="A31" s="1" t="s">
        <v>33</v>
      </c>
      <c r="B31" s="8">
        <v>30631.8</v>
      </c>
      <c r="C31" s="8">
        <v>26164.1</v>
      </c>
      <c r="D31" s="8">
        <v>20265.8</v>
      </c>
      <c r="E31" s="8">
        <v>18105.400000000001</v>
      </c>
      <c r="F31" s="8">
        <v>15400.8</v>
      </c>
      <c r="G31" s="8">
        <v>13086.9</v>
      </c>
      <c r="H31" s="8">
        <v>11368</v>
      </c>
      <c r="I31" s="8">
        <v>10039</v>
      </c>
      <c r="J31" s="8">
        <v>8857.4</v>
      </c>
      <c r="K31" s="8">
        <v>8479.7000000000007</v>
      </c>
      <c r="L31" s="8">
        <v>7838.4</v>
      </c>
      <c r="M31" s="8">
        <v>7245.8</v>
      </c>
      <c r="N31" s="8">
        <v>7071</v>
      </c>
      <c r="O31" s="8">
        <v>6653</v>
      </c>
      <c r="P31" s="8">
        <v>6177.4</v>
      </c>
      <c r="Q31" s="8">
        <v>5942.7</v>
      </c>
      <c r="R31" s="8">
        <v>5725</v>
      </c>
      <c r="S31" s="8">
        <v>5660.3</v>
      </c>
      <c r="T31" s="8">
        <v>5285.6</v>
      </c>
      <c r="U31" s="8">
        <v>4576.3</v>
      </c>
      <c r="V31" s="8">
        <v>3813</v>
      </c>
      <c r="W31" s="8">
        <v>3238</v>
      </c>
    </row>
    <row r="32" spans="1:23" x14ac:dyDescent="0.25">
      <c r="A32" s="1" t="s">
        <v>192</v>
      </c>
      <c r="B32" s="8">
        <v>0</v>
      </c>
      <c r="C32" s="8">
        <v>152.9</v>
      </c>
      <c r="D32" s="8">
        <v>310</v>
      </c>
      <c r="E32" s="8">
        <v>132.5</v>
      </c>
      <c r="F32" s="8">
        <v>0</v>
      </c>
      <c r="G32" s="8"/>
      <c r="H32" s="8"/>
      <c r="I32" s="8"/>
      <c r="J32" s="8"/>
      <c r="K32" s="8"/>
      <c r="L32" s="8"/>
      <c r="M32" s="8"/>
      <c r="N32" s="8"/>
      <c r="O32" s="8"/>
      <c r="P32" s="8"/>
      <c r="Q32" s="8"/>
      <c r="R32" s="8"/>
      <c r="S32" s="8"/>
      <c r="T32" s="8"/>
      <c r="U32" s="8"/>
      <c r="V32" s="8"/>
      <c r="W32" s="8"/>
    </row>
    <row r="33" spans="1:23" x14ac:dyDescent="0.25">
      <c r="A33" s="1" t="s">
        <v>34</v>
      </c>
      <c r="B33" s="33">
        <v>5931.9</v>
      </c>
      <c r="C33" s="33">
        <v>6010.6</v>
      </c>
      <c r="D33" s="33">
        <v>4955.8</v>
      </c>
      <c r="E33" s="33">
        <v>5962.7</v>
      </c>
      <c r="F33" s="33">
        <v>5046.5</v>
      </c>
      <c r="G33" s="33">
        <v>2825.9</v>
      </c>
      <c r="H33" s="33">
        <v>2495.5</v>
      </c>
      <c r="I33" s="33">
        <v>2067.8000000000002</v>
      </c>
      <c r="J33" s="33">
        <v>1893.8</v>
      </c>
      <c r="K33" s="33">
        <f>1785+890.2</f>
        <v>2675.2</v>
      </c>
      <c r="L33" s="33">
        <v>1855.5</v>
      </c>
      <c r="M33" s="33">
        <v>1770.8</v>
      </c>
      <c r="N33" s="8">
        <v>1718.4</v>
      </c>
      <c r="O33" s="8">
        <v>1297.5999999999999</v>
      </c>
      <c r="P33" s="8">
        <v>1506.4</v>
      </c>
      <c r="Q33" s="8">
        <v>1580.6</v>
      </c>
      <c r="R33" s="8">
        <v>1390</v>
      </c>
      <c r="S33" s="8">
        <v>1510.8</v>
      </c>
      <c r="T33" s="8">
        <v>1325</v>
      </c>
      <c r="U33" s="8">
        <v>1290.0999999999999</v>
      </c>
      <c r="V33" s="8">
        <v>1190.0999999999999</v>
      </c>
      <c r="W33" s="8">
        <v>821.3</v>
      </c>
    </row>
    <row r="34" spans="1:23" x14ac:dyDescent="0.25">
      <c r="A34" s="1" t="s">
        <v>32</v>
      </c>
      <c r="B34" s="33">
        <v>0</v>
      </c>
      <c r="C34" s="33">
        <v>0</v>
      </c>
      <c r="D34" s="33">
        <v>0</v>
      </c>
      <c r="E34" s="33">
        <v>0</v>
      </c>
      <c r="F34" s="33">
        <v>0</v>
      </c>
      <c r="G34" s="33">
        <v>135</v>
      </c>
      <c r="H34" s="33">
        <v>111.3</v>
      </c>
      <c r="I34" s="33">
        <v>109.3</v>
      </c>
      <c r="J34" s="33">
        <v>98.9</v>
      </c>
      <c r="K34" s="33">
        <v>28.4</v>
      </c>
      <c r="L34" s="33">
        <v>0</v>
      </c>
      <c r="M34" s="33">
        <v>0</v>
      </c>
      <c r="N34" s="8">
        <v>0</v>
      </c>
      <c r="O34" s="8">
        <v>0</v>
      </c>
      <c r="P34" s="8">
        <v>0</v>
      </c>
      <c r="Q34" s="8">
        <v>0</v>
      </c>
      <c r="R34" s="8">
        <v>0</v>
      </c>
      <c r="S34" s="8">
        <v>0</v>
      </c>
      <c r="T34" s="8">
        <v>26</v>
      </c>
      <c r="U34" s="8">
        <v>0</v>
      </c>
      <c r="V34" s="8">
        <v>0</v>
      </c>
      <c r="W34" s="8">
        <v>0</v>
      </c>
    </row>
    <row r="35" spans="1:23" x14ac:dyDescent="0.25">
      <c r="A35" s="1" t="s">
        <v>115</v>
      </c>
      <c r="B35" s="33">
        <v>0</v>
      </c>
      <c r="C35" s="33">
        <v>58.5</v>
      </c>
      <c r="D35" s="33">
        <v>2694.5</v>
      </c>
      <c r="E35" s="33">
        <v>0</v>
      </c>
      <c r="F35" s="33">
        <v>0</v>
      </c>
      <c r="G35" s="33">
        <v>655.1</v>
      </c>
      <c r="H35" s="33">
        <v>395.4</v>
      </c>
      <c r="I35" s="33">
        <v>519.20000000000005</v>
      </c>
      <c r="J35" s="33">
        <v>404.1</v>
      </c>
      <c r="K35" s="33">
        <v>0</v>
      </c>
      <c r="L35" s="33">
        <v>0</v>
      </c>
      <c r="M35" s="33">
        <v>0</v>
      </c>
      <c r="N35" s="8">
        <v>0</v>
      </c>
      <c r="O35" s="8">
        <v>0</v>
      </c>
      <c r="P35" s="8">
        <v>0</v>
      </c>
      <c r="Q35" s="8">
        <v>0</v>
      </c>
      <c r="R35" s="8">
        <v>0</v>
      </c>
      <c r="S35" s="8">
        <v>0</v>
      </c>
      <c r="T35" s="8">
        <v>0</v>
      </c>
      <c r="U35" s="8">
        <v>0</v>
      </c>
      <c r="V35" s="8">
        <v>0</v>
      </c>
      <c r="W35" s="8">
        <v>0</v>
      </c>
    </row>
    <row r="36" spans="1:23" x14ac:dyDescent="0.25">
      <c r="A36" s="1" t="s">
        <v>26</v>
      </c>
      <c r="B36" s="8">
        <v>6387.4</v>
      </c>
      <c r="C36" s="8">
        <v>4898.8</v>
      </c>
      <c r="D36" s="8">
        <v>5396.1</v>
      </c>
      <c r="E36" s="8">
        <v>4407.1000000000004</v>
      </c>
      <c r="F36" s="8">
        <v>4404.8999999999996</v>
      </c>
      <c r="G36" s="8">
        <v>3306.3</v>
      </c>
      <c r="H36" s="8">
        <v>3148.2</v>
      </c>
      <c r="I36" s="8">
        <v>2707.9</v>
      </c>
      <c r="J36" s="8">
        <v>2164.6999999999998</v>
      </c>
      <c r="K36" s="8">
        <v>1860.9</v>
      </c>
      <c r="L36" s="8">
        <v>2063.1</v>
      </c>
      <c r="M36" s="8">
        <v>2442.1</v>
      </c>
      <c r="N36" s="8">
        <v>1958.2</v>
      </c>
      <c r="O36" s="8">
        <v>2177.1999999999998</v>
      </c>
      <c r="P36" s="8">
        <v>2175.5</v>
      </c>
      <c r="Q36" s="8">
        <v>2173.9</v>
      </c>
      <c r="R36" s="8">
        <v>1185.5</v>
      </c>
      <c r="S36" s="8">
        <v>1284.9000000000001</v>
      </c>
      <c r="T36" s="8">
        <v>1284.3</v>
      </c>
      <c r="U36" s="8">
        <v>1489.8</v>
      </c>
      <c r="V36" s="8">
        <v>1489</v>
      </c>
      <c r="W36" s="8">
        <v>1095.7</v>
      </c>
    </row>
    <row r="37" spans="1:23" s="3" customFormat="1" x14ac:dyDescent="0.25">
      <c r="A37" s="3" t="s">
        <v>189</v>
      </c>
      <c r="B37" s="45">
        <f t="shared" ref="B37" si="5">SUM(B30:B36)</f>
        <v>60748</v>
      </c>
      <c r="C37" s="45">
        <f t="shared" ref="C37:G37" si="6">SUM(C30:C36)</f>
        <v>52900.7</v>
      </c>
      <c r="D37" s="45">
        <f t="shared" si="6"/>
        <v>47059.700000000004</v>
      </c>
      <c r="E37" s="45">
        <f t="shared" si="6"/>
        <v>40996.5</v>
      </c>
      <c r="F37" s="45">
        <f t="shared" si="6"/>
        <v>35538.699999999997</v>
      </c>
      <c r="G37" s="45">
        <f t="shared" si="6"/>
        <v>28912.7</v>
      </c>
      <c r="H37" s="45">
        <f t="shared" ref="H37:I37" si="7">SUM(H30:H36)</f>
        <v>24986.7</v>
      </c>
      <c r="I37" s="45">
        <f t="shared" si="7"/>
        <v>22065</v>
      </c>
      <c r="J37" s="45">
        <f t="shared" ref="J37:K37" si="8">SUM(J30:J36)</f>
        <v>18859</v>
      </c>
      <c r="K37" s="45">
        <f t="shared" si="8"/>
        <v>18218.7</v>
      </c>
      <c r="L37" s="45">
        <f>SUM(L30:L36)</f>
        <v>16687.699999999997</v>
      </c>
      <c r="M37" s="45">
        <f t="shared" ref="M37" si="9">SUM(M30:M36)</f>
        <v>16038.1</v>
      </c>
      <c r="N37" s="45">
        <f t="shared" ref="N37:W37" si="10">SUM(N30:N36)</f>
        <v>15101.4</v>
      </c>
      <c r="O37" s="45">
        <f t="shared" si="10"/>
        <v>14300.7</v>
      </c>
      <c r="P37" s="45">
        <f t="shared" si="10"/>
        <v>14035.199999999999</v>
      </c>
      <c r="Q37" s="45">
        <f t="shared" si="10"/>
        <v>13907.599999999999</v>
      </c>
      <c r="R37" s="45">
        <f t="shared" si="10"/>
        <v>12635.5</v>
      </c>
      <c r="S37" s="45">
        <f t="shared" si="10"/>
        <v>12791.1</v>
      </c>
      <c r="T37" s="45">
        <f t="shared" si="10"/>
        <v>12028.9</v>
      </c>
      <c r="U37" s="45">
        <f t="shared" si="10"/>
        <v>11250.9</v>
      </c>
      <c r="V37" s="45">
        <f t="shared" si="10"/>
        <v>9796.4</v>
      </c>
      <c r="W37" s="45">
        <f t="shared" si="10"/>
        <v>7871.7</v>
      </c>
    </row>
    <row r="38" spans="1:23" s="3" customFormat="1" x14ac:dyDescent="0.25">
      <c r="A38" s="3" t="s">
        <v>191</v>
      </c>
      <c r="B38" s="46">
        <v>0</v>
      </c>
      <c r="C38" s="46">
        <v>0</v>
      </c>
      <c r="D38" s="46">
        <v>0</v>
      </c>
      <c r="E38" s="46">
        <v>225.6</v>
      </c>
      <c r="F38" s="46">
        <v>214.5</v>
      </c>
      <c r="G38" s="46">
        <v>503.7</v>
      </c>
      <c r="H38" s="46">
        <v>483.7</v>
      </c>
      <c r="I38" s="46">
        <v>464.9</v>
      </c>
      <c r="J38" s="46">
        <v>0</v>
      </c>
      <c r="K38" s="46">
        <v>0</v>
      </c>
      <c r="L38" s="46">
        <v>0</v>
      </c>
      <c r="M38" s="46">
        <v>0</v>
      </c>
      <c r="N38" s="46">
        <v>0</v>
      </c>
      <c r="O38" s="46">
        <v>0</v>
      </c>
      <c r="P38" s="46">
        <v>0</v>
      </c>
      <c r="Q38" s="46">
        <v>0</v>
      </c>
      <c r="R38" s="46">
        <v>0</v>
      </c>
      <c r="S38" s="46">
        <v>0</v>
      </c>
      <c r="T38" s="46">
        <v>0</v>
      </c>
      <c r="U38" s="46">
        <v>0</v>
      </c>
      <c r="V38" s="46">
        <v>0</v>
      </c>
      <c r="W38" s="46">
        <v>0</v>
      </c>
    </row>
    <row r="39" spans="1:23" s="3" customFormat="1" x14ac:dyDescent="0.25">
      <c r="A39" s="3" t="s">
        <v>195</v>
      </c>
      <c r="B39" s="46"/>
      <c r="C39" s="46"/>
      <c r="D39" s="46"/>
      <c r="E39" s="46"/>
      <c r="F39" s="46"/>
      <c r="G39" s="46"/>
      <c r="H39" s="46"/>
      <c r="I39" s="46"/>
      <c r="J39" s="46"/>
      <c r="K39" s="46"/>
      <c r="L39" s="46"/>
      <c r="M39" s="46"/>
      <c r="N39" s="46"/>
      <c r="O39" s="46"/>
      <c r="P39" s="46"/>
      <c r="Q39" s="46"/>
      <c r="R39" s="46"/>
      <c r="S39" s="46"/>
      <c r="T39" s="46"/>
      <c r="U39" s="46"/>
      <c r="V39" s="46"/>
      <c r="W39" s="46"/>
    </row>
    <row r="40" spans="1:23" x14ac:dyDescent="0.25">
      <c r="A40" s="1" t="s">
        <v>121</v>
      </c>
      <c r="B40" s="34">
        <v>493.9</v>
      </c>
      <c r="C40" s="35">
        <v>493.9</v>
      </c>
      <c r="D40" s="35">
        <v>493.9</v>
      </c>
      <c r="E40" s="35">
        <v>493.9</v>
      </c>
      <c r="F40" s="35">
        <v>493.9</v>
      </c>
      <c r="G40" s="34">
        <v>0</v>
      </c>
      <c r="H40" s="34">
        <v>0</v>
      </c>
      <c r="I40" s="34">
        <v>0</v>
      </c>
      <c r="J40" s="34">
        <v>0</v>
      </c>
      <c r="K40" s="34">
        <v>0</v>
      </c>
      <c r="L40" s="34">
        <v>0</v>
      </c>
      <c r="M40" s="34">
        <v>0</v>
      </c>
      <c r="N40" s="34">
        <v>0</v>
      </c>
      <c r="O40" s="34">
        <v>0</v>
      </c>
      <c r="P40" s="34">
        <v>0</v>
      </c>
      <c r="Q40" s="34">
        <v>0</v>
      </c>
      <c r="R40" s="34">
        <v>0</v>
      </c>
      <c r="S40" s="34">
        <v>0</v>
      </c>
      <c r="T40" s="34">
        <v>0</v>
      </c>
      <c r="U40" s="34">
        <v>0</v>
      </c>
      <c r="V40" s="34">
        <v>0</v>
      </c>
      <c r="W40" s="34">
        <v>0</v>
      </c>
    </row>
    <row r="41" spans="1:23" x14ac:dyDescent="0.25">
      <c r="A41" s="1" t="s">
        <v>193</v>
      </c>
      <c r="B41" s="35">
        <v>585.1</v>
      </c>
      <c r="C41" s="35">
        <v>584.4</v>
      </c>
      <c r="D41" s="35">
        <v>585.20000000000005</v>
      </c>
      <c r="E41" s="35">
        <v>584.6</v>
      </c>
      <c r="F41" s="35">
        <v>583.20000000000005</v>
      </c>
      <c r="G41" s="35">
        <v>581.70000000000005</v>
      </c>
      <c r="H41" s="35">
        <v>579.9</v>
      </c>
      <c r="I41" s="35">
        <v>583.6</v>
      </c>
      <c r="J41" s="35">
        <v>587.79999999999995</v>
      </c>
      <c r="K41" s="35">
        <f>797.6-201.8</f>
        <v>595.79999999999995</v>
      </c>
      <c r="L41" s="35">
        <v>604.6</v>
      </c>
      <c r="M41" s="35">
        <v>613</v>
      </c>
      <c r="N41" s="8">
        <v>662.4</v>
      </c>
      <c r="O41" s="8">
        <v>672.6</v>
      </c>
      <c r="P41" s="8">
        <v>676.5</v>
      </c>
      <c r="Q41" s="8">
        <v>680.2</v>
      </c>
      <c r="R41" s="8">
        <v>748</v>
      </c>
      <c r="S41" s="8">
        <v>197.3</v>
      </c>
      <c r="T41" s="8">
        <v>200.4</v>
      </c>
      <c r="U41" s="8">
        <v>216.4</v>
      </c>
      <c r="V41" s="8">
        <v>218</v>
      </c>
      <c r="W41" s="8">
        <v>73.400000000000006</v>
      </c>
    </row>
    <row r="42" spans="1:23" x14ac:dyDescent="0.25">
      <c r="A42" s="1" t="s">
        <v>35</v>
      </c>
      <c r="B42" s="35">
        <v>1839.6</v>
      </c>
      <c r="C42" s="35">
        <v>1772.9</v>
      </c>
      <c r="D42" s="35">
        <v>1672.9</v>
      </c>
      <c r="E42" s="35">
        <v>1573.4</v>
      </c>
      <c r="F42" s="35">
        <v>1479</v>
      </c>
      <c r="G42" s="35">
        <v>1389.2</v>
      </c>
      <c r="H42" s="35">
        <v>1303.4000000000001</v>
      </c>
      <c r="I42" s="35">
        <v>1218.8</v>
      </c>
      <c r="J42" s="35">
        <v>1184.3</v>
      </c>
      <c r="K42" s="35">
        <v>1142</v>
      </c>
      <c r="L42" s="35">
        <v>1077</v>
      </c>
      <c r="M42" s="35">
        <v>1006.2</v>
      </c>
      <c r="N42" s="8">
        <v>1007.1</v>
      </c>
      <c r="O42" s="8">
        <v>939.7</v>
      </c>
      <c r="P42" s="8">
        <v>892.9</v>
      </c>
      <c r="Q42" s="8">
        <v>834.8</v>
      </c>
      <c r="R42" s="8">
        <v>847.4</v>
      </c>
      <c r="S42" s="8">
        <v>848.2</v>
      </c>
      <c r="T42" s="8">
        <v>743.3</v>
      </c>
      <c r="U42" s="8">
        <v>688.3</v>
      </c>
      <c r="V42" s="8">
        <v>584.70000000000005</v>
      </c>
      <c r="W42" s="8">
        <v>554</v>
      </c>
    </row>
    <row r="43" spans="1:23" x14ac:dyDescent="0.25">
      <c r="A43" s="1" t="s">
        <v>5</v>
      </c>
      <c r="B43" s="35">
        <v>14987.5</v>
      </c>
      <c r="C43" s="35">
        <v>15339.7</v>
      </c>
      <c r="D43" s="35">
        <v>13354.9</v>
      </c>
      <c r="E43" s="35">
        <v>10679.6</v>
      </c>
      <c r="F43" s="35">
        <v>8386.6</v>
      </c>
      <c r="G43" s="35">
        <v>6031.7</v>
      </c>
      <c r="H43" s="35">
        <v>5140.3999999999996</v>
      </c>
      <c r="I43" s="35">
        <v>4686.6000000000004</v>
      </c>
      <c r="J43" s="35">
        <v>4133.3999999999996</v>
      </c>
      <c r="K43" s="35">
        <v>3500</v>
      </c>
      <c r="L43" s="35">
        <v>3454.4</v>
      </c>
      <c r="M43" s="35">
        <v>3495</v>
      </c>
      <c r="N43" s="8">
        <v>3595.7</v>
      </c>
      <c r="O43" s="8">
        <v>3683.1</v>
      </c>
      <c r="P43" s="8">
        <v>2697.8</v>
      </c>
      <c r="Q43" s="8">
        <v>2927.7</v>
      </c>
      <c r="R43" s="8">
        <v>4646.8999999999996</v>
      </c>
      <c r="S43" s="8">
        <v>4726</v>
      </c>
      <c r="T43" s="8">
        <v>3812.9</v>
      </c>
      <c r="U43" s="8">
        <v>3729.8</v>
      </c>
      <c r="V43" s="8">
        <v>2796</v>
      </c>
      <c r="W43" s="8">
        <v>2497.4</v>
      </c>
    </row>
    <row r="44" spans="1:23" x14ac:dyDescent="0.25">
      <c r="A44" s="1" t="s">
        <v>194</v>
      </c>
      <c r="B44" s="35">
        <v>-3129.9</v>
      </c>
      <c r="C44" s="42">
        <v>40.700000000000003</v>
      </c>
      <c r="D44" s="42">
        <v>931.7</v>
      </c>
      <c r="E44" s="42">
        <v>341.7</v>
      </c>
      <c r="F44" s="42">
        <v>-120.9</v>
      </c>
      <c r="G44" s="42">
        <v>1282.2</v>
      </c>
      <c r="H44" s="42">
        <f>939.6-9.4-1.1+4.3</f>
        <v>933.4</v>
      </c>
      <c r="I44" s="42">
        <v>800.4</v>
      </c>
      <c r="J44" s="42">
        <v>1023.1</v>
      </c>
      <c r="K44" s="42">
        <v>951.7</v>
      </c>
      <c r="L44" s="42">
        <v>871</v>
      </c>
      <c r="M44" s="42">
        <v>692.5</v>
      </c>
      <c r="N44" s="8">
        <v>783.7</v>
      </c>
      <c r="O44" s="8">
        <v>453.2</v>
      </c>
      <c r="P44" s="8">
        <v>-51.9</v>
      </c>
      <c r="Q44" s="8">
        <v>492.8</v>
      </c>
      <c r="R44" s="8">
        <v>604.29999999999995</v>
      </c>
      <c r="S44" s="8">
        <f>390.1+8.6</f>
        <v>398.70000000000005</v>
      </c>
      <c r="T44" s="8">
        <f>435.1+9.7</f>
        <v>444.8</v>
      </c>
      <c r="U44" s="8">
        <f>418.2+10.7-3.9</f>
        <v>425</v>
      </c>
      <c r="V44" s="8">
        <f>11.7-4.8+162.4</f>
        <v>169.3</v>
      </c>
      <c r="W44" s="8">
        <f>121.5+9.2-4.8</f>
        <v>125.89999999999999</v>
      </c>
    </row>
    <row r="45" spans="1:23" x14ac:dyDescent="0.25">
      <c r="A45" s="1" t="s">
        <v>37</v>
      </c>
      <c r="B45" s="35">
        <v>0</v>
      </c>
      <c r="C45" s="35">
        <v>0</v>
      </c>
      <c r="D45" s="35">
        <v>0</v>
      </c>
      <c r="E45" s="35">
        <v>0</v>
      </c>
      <c r="F45" s="35">
        <v>0</v>
      </c>
      <c r="G45" s="35">
        <v>0</v>
      </c>
      <c r="H45" s="35">
        <v>0</v>
      </c>
      <c r="I45" s="35">
        <v>0</v>
      </c>
      <c r="J45" s="35">
        <v>0</v>
      </c>
      <c r="K45" s="35">
        <v>0</v>
      </c>
      <c r="L45" s="35">
        <v>0</v>
      </c>
      <c r="M45" s="35">
        <v>0</v>
      </c>
      <c r="N45" s="8">
        <v>0</v>
      </c>
      <c r="O45" s="8">
        <v>0</v>
      </c>
      <c r="P45" s="8">
        <v>0</v>
      </c>
      <c r="Q45" s="8">
        <v>0</v>
      </c>
      <c r="R45" s="8">
        <v>0</v>
      </c>
      <c r="S45" s="8">
        <v>-62.7</v>
      </c>
      <c r="T45" s="8">
        <v>-46</v>
      </c>
      <c r="U45" s="8">
        <v>-28.9</v>
      </c>
      <c r="V45" s="8">
        <v>0</v>
      </c>
      <c r="W45" s="8">
        <v>0</v>
      </c>
    </row>
    <row r="46" spans="1:23" x14ac:dyDescent="0.25">
      <c r="A46" s="3" t="s">
        <v>190</v>
      </c>
      <c r="B46" s="44">
        <f>SUM(B40:B45)</f>
        <v>14776.199999999999</v>
      </c>
      <c r="C46" s="44">
        <f t="shared" ref="C46:W46" si="11">SUM(C40:C45)</f>
        <v>18231.600000000002</v>
      </c>
      <c r="D46" s="44">
        <f t="shared" si="11"/>
        <v>17038.599999999999</v>
      </c>
      <c r="E46" s="44">
        <f>SUM(E40:E45)</f>
        <v>13673.2</v>
      </c>
      <c r="F46" s="44">
        <f t="shared" si="11"/>
        <v>10821.800000000001</v>
      </c>
      <c r="G46" s="44">
        <f t="shared" si="11"/>
        <v>9284.8000000000011</v>
      </c>
      <c r="H46" s="44">
        <f t="shared" si="11"/>
        <v>7957.0999999999995</v>
      </c>
      <c r="I46" s="44">
        <f t="shared" si="11"/>
        <v>7289.4</v>
      </c>
      <c r="J46" s="44">
        <f t="shared" si="11"/>
        <v>6928.6</v>
      </c>
      <c r="K46" s="44">
        <f t="shared" si="11"/>
        <v>6189.5</v>
      </c>
      <c r="L46" s="44">
        <f t="shared" si="11"/>
        <v>6007</v>
      </c>
      <c r="M46" s="44">
        <f t="shared" si="11"/>
        <v>5806.7</v>
      </c>
      <c r="N46" s="44">
        <f t="shared" si="11"/>
        <v>6048.9</v>
      </c>
      <c r="O46" s="44">
        <f t="shared" si="11"/>
        <v>5748.5999999999995</v>
      </c>
      <c r="P46" s="44">
        <f t="shared" si="11"/>
        <v>4215.3000000000011</v>
      </c>
      <c r="Q46" s="44">
        <f t="shared" si="11"/>
        <v>4935.5</v>
      </c>
      <c r="R46" s="44">
        <f t="shared" si="11"/>
        <v>6846.5999999999995</v>
      </c>
      <c r="S46" s="44">
        <f>SUM(S40:S45)</f>
        <v>6107.5</v>
      </c>
      <c r="T46" s="44">
        <f t="shared" si="11"/>
        <v>5155.4000000000005</v>
      </c>
      <c r="U46" s="44">
        <f t="shared" si="11"/>
        <v>5030.6000000000004</v>
      </c>
      <c r="V46" s="44">
        <f t="shared" si="11"/>
        <v>3768</v>
      </c>
      <c r="W46" s="44">
        <f t="shared" si="11"/>
        <v>3250.7000000000003</v>
      </c>
    </row>
    <row r="47" spans="1:23" ht="20" thickBot="1" x14ac:dyDescent="0.3">
      <c r="A47" s="3" t="s">
        <v>197</v>
      </c>
      <c r="B47" s="13">
        <f t="shared" ref="B47:W47" si="12">B37+B38+B46</f>
        <v>75524.2</v>
      </c>
      <c r="C47" s="13">
        <f t="shared" si="12"/>
        <v>71132.3</v>
      </c>
      <c r="D47" s="13">
        <f t="shared" si="12"/>
        <v>64098.3</v>
      </c>
      <c r="E47" s="13">
        <f>E37+E38+E46</f>
        <v>54895.3</v>
      </c>
      <c r="F47" s="13">
        <f t="shared" si="12"/>
        <v>46575</v>
      </c>
      <c r="G47" s="13">
        <f t="shared" si="12"/>
        <v>38701.200000000004</v>
      </c>
      <c r="H47" s="13">
        <f t="shared" si="12"/>
        <v>33427.5</v>
      </c>
      <c r="I47" s="13">
        <f t="shared" si="12"/>
        <v>29819.300000000003</v>
      </c>
      <c r="J47" s="13">
        <f t="shared" si="12"/>
        <v>25787.599999999999</v>
      </c>
      <c r="K47" s="13">
        <f t="shared" si="12"/>
        <v>24408.2</v>
      </c>
      <c r="L47" s="13">
        <f t="shared" si="12"/>
        <v>22694.699999999997</v>
      </c>
      <c r="M47" s="13">
        <f t="shared" si="12"/>
        <v>21844.799999999999</v>
      </c>
      <c r="N47" s="13">
        <f t="shared" si="12"/>
        <v>21150.3</v>
      </c>
      <c r="O47" s="13">
        <f t="shared" si="12"/>
        <v>20049.3</v>
      </c>
      <c r="P47" s="13">
        <f t="shared" si="12"/>
        <v>18250.5</v>
      </c>
      <c r="Q47" s="13">
        <f t="shared" si="12"/>
        <v>18843.099999999999</v>
      </c>
      <c r="R47" s="13">
        <f t="shared" si="12"/>
        <v>19482.099999999999</v>
      </c>
      <c r="S47" s="13">
        <f t="shared" si="12"/>
        <v>18898.599999999999</v>
      </c>
      <c r="T47" s="13">
        <f t="shared" si="12"/>
        <v>17184.3</v>
      </c>
      <c r="U47" s="13">
        <f t="shared" si="12"/>
        <v>16281.5</v>
      </c>
      <c r="V47" s="13">
        <f t="shared" si="12"/>
        <v>13564.4</v>
      </c>
      <c r="W47" s="13">
        <f t="shared" si="12"/>
        <v>11122.4</v>
      </c>
    </row>
    <row r="48" spans="1:23" ht="20" thickTop="1" x14ac:dyDescent="0.25">
      <c r="B48" s="8">
        <f t="shared" ref="B48:W48" si="13">B27-B47</f>
        <v>0</v>
      </c>
      <c r="C48" s="8">
        <f t="shared" si="13"/>
        <v>0</v>
      </c>
      <c r="D48" s="8">
        <f t="shared" si="13"/>
        <v>0</v>
      </c>
      <c r="E48" s="8">
        <f t="shared" si="13"/>
        <v>0</v>
      </c>
      <c r="F48" s="8">
        <f t="shared" si="13"/>
        <v>0</v>
      </c>
      <c r="G48" s="8">
        <f t="shared" si="13"/>
        <v>0</v>
      </c>
      <c r="H48" s="8">
        <f t="shared" si="13"/>
        <v>0</v>
      </c>
      <c r="I48" s="8">
        <f t="shared" si="13"/>
        <v>0</v>
      </c>
      <c r="J48" s="8">
        <f t="shared" si="13"/>
        <v>0</v>
      </c>
      <c r="K48" s="8">
        <f t="shared" si="13"/>
        <v>0</v>
      </c>
      <c r="L48" s="8">
        <f t="shared" si="13"/>
        <v>0</v>
      </c>
      <c r="M48" s="8">
        <f t="shared" si="13"/>
        <v>0</v>
      </c>
      <c r="N48" s="8">
        <f t="shared" si="13"/>
        <v>0</v>
      </c>
      <c r="O48" s="8">
        <f t="shared" si="13"/>
        <v>0</v>
      </c>
      <c r="P48" s="8">
        <f t="shared" si="13"/>
        <v>0</v>
      </c>
      <c r="Q48" s="8">
        <f t="shared" si="13"/>
        <v>0</v>
      </c>
      <c r="R48" s="8">
        <f t="shared" si="13"/>
        <v>0</v>
      </c>
      <c r="S48" s="8">
        <f t="shared" si="13"/>
        <v>0</v>
      </c>
      <c r="T48" s="8">
        <f t="shared" si="13"/>
        <v>0</v>
      </c>
      <c r="U48" s="8">
        <f t="shared" si="13"/>
        <v>0</v>
      </c>
      <c r="V48" s="8">
        <f t="shared" si="13"/>
        <v>0</v>
      </c>
      <c r="W48" s="8">
        <f t="shared" si="13"/>
        <v>0</v>
      </c>
    </row>
    <row r="49" spans="1:23" x14ac:dyDescent="0.25">
      <c r="A49" s="1" t="s">
        <v>208</v>
      </c>
      <c r="B49" s="1">
        <f>797.6-212.5</f>
        <v>585.1</v>
      </c>
      <c r="C49" s="36">
        <f>797.6-213.2</f>
        <v>584.40000000000009</v>
      </c>
      <c r="D49" s="36">
        <f>797.5-212.3</f>
        <v>585.20000000000005</v>
      </c>
      <c r="E49" s="36">
        <f>797.5-212.9</f>
        <v>584.6</v>
      </c>
      <c r="F49" s="36">
        <f>797.5-214.3</f>
        <v>583.20000000000005</v>
      </c>
      <c r="G49" s="36">
        <f>797.5-215.8</f>
        <v>581.70000000000005</v>
      </c>
      <c r="H49" s="36">
        <f>797.5-217.6</f>
        <v>579.9</v>
      </c>
      <c r="I49" s="8">
        <f>797.6-214</f>
        <v>583.6</v>
      </c>
      <c r="J49" s="8">
        <f>797.6-209.8</f>
        <v>587.79999999999995</v>
      </c>
      <c r="K49" s="8">
        <f>797.6-201.8</f>
        <v>595.79999999999995</v>
      </c>
      <c r="L49" s="8">
        <f>797.7-193.1</f>
        <v>604.6</v>
      </c>
      <c r="M49" s="8">
        <f>797.7-184.7</f>
        <v>613</v>
      </c>
      <c r="N49" s="8">
        <v>662.4</v>
      </c>
      <c r="O49" s="8">
        <v>672.6</v>
      </c>
      <c r="P49" s="8">
        <v>676.5</v>
      </c>
      <c r="Q49" s="8">
        <v>680.2</v>
      </c>
      <c r="R49" s="8">
        <v>748</v>
      </c>
      <c r="S49" s="8">
        <v>789.3</v>
      </c>
      <c r="T49" s="8">
        <v>801.6</v>
      </c>
      <c r="U49" s="8">
        <v>865.8</v>
      </c>
      <c r="V49" s="8">
        <v>871.8</v>
      </c>
      <c r="W49" s="8">
        <f>220.3*4</f>
        <v>881.2</v>
      </c>
    </row>
    <row r="50" spans="1:23" x14ac:dyDescent="0.25">
      <c r="A50" s="1" t="s">
        <v>28</v>
      </c>
      <c r="B50" s="15">
        <f t="shared" ref="B50:C50" si="14">(B49/C49)-1</f>
        <v>1.1978097193701132E-3</v>
      </c>
      <c r="C50" s="15">
        <f t="shared" si="14"/>
        <v>-1.3670539986329056E-3</v>
      </c>
      <c r="D50" s="15">
        <f t="shared" ref="D50" si="15">(D49/E49)-1</f>
        <v>1.0263427984946727E-3</v>
      </c>
      <c r="E50" s="15">
        <f t="shared" ref="E50" si="16">(E49/F49)-1</f>
        <v>2.4005486968450285E-3</v>
      </c>
      <c r="F50" s="15">
        <f t="shared" ref="F50" si="17">(F49/G49)-1</f>
        <v>2.5786487880350428E-3</v>
      </c>
      <c r="G50" s="15">
        <f t="shared" ref="G50" si="18">(G49/H49)-1</f>
        <v>3.1039834454218429E-3</v>
      </c>
      <c r="H50" s="15">
        <f t="shared" ref="H50:N50" si="19">(H49/I49)-1</f>
        <v>-6.3399588759425196E-3</v>
      </c>
      <c r="I50" s="15">
        <f t="shared" si="19"/>
        <v>-7.1452875127593352E-3</v>
      </c>
      <c r="J50" s="15">
        <f t="shared" si="19"/>
        <v>-1.3427324605572388E-2</v>
      </c>
      <c r="K50" s="15">
        <f t="shared" si="19"/>
        <v>-1.45550777373471E-2</v>
      </c>
      <c r="L50" s="15">
        <f t="shared" si="19"/>
        <v>-1.3703099510603556E-2</v>
      </c>
      <c r="M50" s="15">
        <f t="shared" si="19"/>
        <v>-7.4577294685990281E-2</v>
      </c>
      <c r="N50" s="15">
        <f t="shared" si="19"/>
        <v>-1.5165031222123204E-2</v>
      </c>
      <c r="O50" s="15">
        <f t="shared" ref="O50:V50" si="20">(O49/P49)-1</f>
        <v>-5.7649667405764715E-3</v>
      </c>
      <c r="P50" s="15">
        <f t="shared" si="20"/>
        <v>-5.4395765951191777E-3</v>
      </c>
      <c r="Q50" s="15">
        <f t="shared" si="20"/>
        <v>-9.0641711229946464E-2</v>
      </c>
      <c r="R50" s="15">
        <f t="shared" si="20"/>
        <v>-5.2324844799189085E-2</v>
      </c>
      <c r="S50" s="15">
        <f t="shared" si="20"/>
        <v>-1.5344311377245567E-2</v>
      </c>
      <c r="T50" s="15">
        <f t="shared" si="20"/>
        <v>-7.4151074151074026E-2</v>
      </c>
      <c r="U50" s="15">
        <f t="shared" si="20"/>
        <v>-6.882312456985562E-3</v>
      </c>
      <c r="V50" s="15">
        <f t="shared" si="20"/>
        <v>-1.0667271901951936E-2</v>
      </c>
      <c r="W50" s="15">
        <f>1-(W49/(220.6*4))</f>
        <v>1.3599274705348163E-3</v>
      </c>
    </row>
    <row r="51" spans="1:23" x14ac:dyDescent="0.25">
      <c r="I51" s="21"/>
      <c r="J51" s="21"/>
      <c r="K51" s="21"/>
      <c r="L51" s="21"/>
      <c r="M51" s="21"/>
      <c r="N51" s="21"/>
      <c r="O51" s="21"/>
      <c r="P51" s="21"/>
      <c r="Q51" s="21"/>
      <c r="R51" s="21"/>
      <c r="S51" s="21"/>
      <c r="T51" s="21"/>
      <c r="U51" s="21"/>
      <c r="V51" s="21"/>
      <c r="W51" s="21"/>
    </row>
    <row r="52" spans="1:23" x14ac:dyDescent="0.25">
      <c r="A52" s="1" t="s">
        <v>122</v>
      </c>
      <c r="B52" s="48">
        <f t="shared" ref="B52:W52" si="21">(B46-B40)/B49</f>
        <v>24.410015381985982</v>
      </c>
      <c r="C52" s="48">
        <f t="shared" si="21"/>
        <v>30.351984941820668</v>
      </c>
      <c r="D52" s="48">
        <f t="shared" si="21"/>
        <v>28.271872863978121</v>
      </c>
      <c r="E52" s="48">
        <f t="shared" si="21"/>
        <v>22.544132740335272</v>
      </c>
      <c r="F52" s="48">
        <f t="shared" si="21"/>
        <v>17.709019204389577</v>
      </c>
      <c r="G52" s="48">
        <f t="shared" si="21"/>
        <v>15.961492178098677</v>
      </c>
      <c r="H52" s="48">
        <f t="shared" si="21"/>
        <v>13.721503707535781</v>
      </c>
      <c r="I52" s="48">
        <f t="shared" si="21"/>
        <v>12.490404386566141</v>
      </c>
      <c r="J52" s="48">
        <f t="shared" si="21"/>
        <v>11.787342633548828</v>
      </c>
      <c r="K52" s="48">
        <f t="shared" si="21"/>
        <v>10.38855320577375</v>
      </c>
      <c r="L52" s="48">
        <f t="shared" si="21"/>
        <v>9.9354945418458485</v>
      </c>
      <c r="M52" s="48">
        <f t="shared" si="21"/>
        <v>9.4725938009787924</v>
      </c>
      <c r="N52" s="48">
        <f t="shared" si="21"/>
        <v>9.1317934782608692</v>
      </c>
      <c r="O52" s="48">
        <f t="shared" si="21"/>
        <v>8.5468331846565562</v>
      </c>
      <c r="P52" s="48">
        <f t="shared" si="21"/>
        <v>6.2310421286031055</v>
      </c>
      <c r="Q52" s="48">
        <f t="shared" si="21"/>
        <v>7.2559541311379006</v>
      </c>
      <c r="R52" s="48">
        <f t="shared" si="21"/>
        <v>9.1532085561497318</v>
      </c>
      <c r="S52" s="48">
        <f t="shared" si="21"/>
        <v>7.737868997846193</v>
      </c>
      <c r="T52" s="48">
        <f t="shared" si="21"/>
        <v>6.4313872255489031</v>
      </c>
      <c r="U52" s="48">
        <f t="shared" si="21"/>
        <v>5.8103488103488115</v>
      </c>
      <c r="V52" s="48">
        <f t="shared" si="21"/>
        <v>4.3220922229869236</v>
      </c>
      <c r="W52" s="48">
        <f t="shared" si="21"/>
        <v>3.6889468906037224</v>
      </c>
    </row>
    <row r="53" spans="1:23" x14ac:dyDescent="0.25">
      <c r="I53" s="21"/>
      <c r="J53" s="21"/>
      <c r="K53" s="21"/>
      <c r="L53" s="21"/>
      <c r="M53" s="21"/>
      <c r="N53" s="21"/>
      <c r="O53" s="21"/>
      <c r="P53" s="21"/>
      <c r="Q53" s="21"/>
      <c r="R53" s="21"/>
      <c r="S53" s="21"/>
      <c r="T53" s="21"/>
      <c r="U53" s="21"/>
      <c r="V53" s="21"/>
      <c r="W53" s="21"/>
    </row>
    <row r="54" spans="1:23" x14ac:dyDescent="0.25">
      <c r="A54" s="1" t="s">
        <v>43</v>
      </c>
      <c r="B54" s="8">
        <f>B55*B49</f>
        <v>67994.471000000005</v>
      </c>
      <c r="C54" s="8">
        <f t="shared" ref="C54:G54" si="22">C55*C49</f>
        <v>59988.660000000011</v>
      </c>
      <c r="D54" s="8">
        <f t="shared" si="22"/>
        <v>57864.576000000001</v>
      </c>
      <c r="E54" s="8">
        <f t="shared" si="22"/>
        <v>42319.194000000003</v>
      </c>
      <c r="F54" s="8">
        <f t="shared" si="22"/>
        <v>35184.455999999998</v>
      </c>
      <c r="G54" s="8">
        <f t="shared" si="22"/>
        <v>32761.344000000001</v>
      </c>
      <c r="H54" s="8">
        <f>H55*H49</f>
        <v>20586.45</v>
      </c>
      <c r="I54" s="8">
        <f>I55*I49</f>
        <v>18558.48</v>
      </c>
      <c r="J54" s="8">
        <f>J55*J49</f>
        <v>15864.721999999998</v>
      </c>
      <c r="K54" s="8">
        <f>K55*K49</f>
        <v>16247.465999999999</v>
      </c>
      <c r="L54" s="8">
        <f>L55*L49</f>
        <v>12757.060000000001</v>
      </c>
      <c r="M54" s="8">
        <f>19.51*M49</f>
        <v>11959.630000000001</v>
      </c>
      <c r="N54" s="8">
        <v>13161.9</v>
      </c>
      <c r="O54" s="8">
        <v>12100.1</v>
      </c>
      <c r="P54" s="8">
        <v>10019</v>
      </c>
      <c r="Q54" s="8">
        <v>13032.6</v>
      </c>
      <c r="R54" s="8">
        <v>18116.599999999999</v>
      </c>
      <c r="S54" s="8">
        <v>23040.7</v>
      </c>
      <c r="T54" s="8">
        <v>17001.900000000001</v>
      </c>
      <c r="U54" s="8">
        <v>18088.900000000001</v>
      </c>
      <c r="V54" s="8">
        <v>10819.3</v>
      </c>
      <c r="W54" s="21">
        <v>10958.6</v>
      </c>
    </row>
    <row r="55" spans="1:23" x14ac:dyDescent="0.25">
      <c r="A55" s="1" t="s">
        <v>41</v>
      </c>
      <c r="B55" s="1">
        <v>116.21</v>
      </c>
      <c r="C55" s="7">
        <v>102.65</v>
      </c>
      <c r="D55" s="7">
        <v>98.88</v>
      </c>
      <c r="E55" s="7">
        <v>72.39</v>
      </c>
      <c r="F55" s="7">
        <v>60.33</v>
      </c>
      <c r="G55" s="7">
        <v>56.32</v>
      </c>
      <c r="H55" s="7">
        <v>35.5</v>
      </c>
      <c r="I55" s="7">
        <v>31.8</v>
      </c>
      <c r="J55" s="7">
        <v>26.99</v>
      </c>
      <c r="K55" s="7">
        <v>27.27</v>
      </c>
      <c r="L55" s="7">
        <v>21.1</v>
      </c>
      <c r="M55" s="7">
        <f t="shared" ref="M55:W55" si="23">M54/M49</f>
        <v>19.510000000000002</v>
      </c>
      <c r="N55" s="7">
        <f t="shared" si="23"/>
        <v>19.870018115942027</v>
      </c>
      <c r="O55" s="7">
        <f t="shared" si="23"/>
        <v>17.990038655961939</v>
      </c>
      <c r="P55" s="7">
        <f t="shared" si="23"/>
        <v>14.810051736881006</v>
      </c>
      <c r="Q55" s="7">
        <f t="shared" si="23"/>
        <v>19.159952955013232</v>
      </c>
      <c r="R55" s="7">
        <f t="shared" si="23"/>
        <v>24.220053475935828</v>
      </c>
      <c r="S55" s="7">
        <f t="shared" si="23"/>
        <v>29.191308754592679</v>
      </c>
      <c r="T55" s="7">
        <f t="shared" si="23"/>
        <v>21.209955089820362</v>
      </c>
      <c r="U55" s="7">
        <f t="shared" si="23"/>
        <v>20.892700392700394</v>
      </c>
      <c r="V55" s="7">
        <f t="shared" si="23"/>
        <v>12.410300527643955</v>
      </c>
      <c r="W55" s="7">
        <f t="shared" si="23"/>
        <v>12.435996368588288</v>
      </c>
    </row>
    <row r="56" spans="1:23" x14ac:dyDescent="0.25">
      <c r="A56" s="1" t="s">
        <v>42</v>
      </c>
      <c r="B56" s="48">
        <f t="shared" ref="B56:W56" si="24">B55/B52</f>
        <v>4.760750789438676</v>
      </c>
      <c r="C56" s="48">
        <f t="shared" si="24"/>
        <v>3.38198639056924</v>
      </c>
      <c r="D56" s="48">
        <f t="shared" si="24"/>
        <v>3.4974690384231812</v>
      </c>
      <c r="E56" s="48">
        <f t="shared" si="24"/>
        <v>3.2110350322096015</v>
      </c>
      <c r="F56" s="48">
        <f t="shared" si="24"/>
        <v>3.4067386399945772</v>
      </c>
      <c r="G56" s="48">
        <f t="shared" si="24"/>
        <v>3.5284921592279854</v>
      </c>
      <c r="H56" s="48">
        <f t="shared" si="24"/>
        <v>2.5871800027648266</v>
      </c>
      <c r="I56" s="48">
        <f t="shared" si="24"/>
        <v>2.545954399539057</v>
      </c>
      <c r="J56" s="48">
        <f t="shared" si="24"/>
        <v>2.2897442484773252</v>
      </c>
      <c r="K56" s="48">
        <f t="shared" si="24"/>
        <v>2.6250046045722595</v>
      </c>
      <c r="L56" s="48">
        <f t="shared" si="24"/>
        <v>2.1236990178125521</v>
      </c>
      <c r="M56" s="48">
        <f t="shared" si="24"/>
        <v>2.0596259493343898</v>
      </c>
      <c r="N56" s="48">
        <f t="shared" si="24"/>
        <v>2.1759162822992608</v>
      </c>
      <c r="O56" s="48">
        <f t="shared" si="24"/>
        <v>2.1048777093553213</v>
      </c>
      <c r="P56" s="48">
        <f t="shared" si="24"/>
        <v>2.3768177828387063</v>
      </c>
      <c r="Q56" s="48">
        <f t="shared" si="24"/>
        <v>2.6405835275048122</v>
      </c>
      <c r="R56" s="48">
        <f t="shared" si="24"/>
        <v>2.6460725031402448</v>
      </c>
      <c r="S56" s="48">
        <f t="shared" si="24"/>
        <v>3.7725255832992226</v>
      </c>
      <c r="T56" s="48">
        <f t="shared" si="24"/>
        <v>3.2978818326415023</v>
      </c>
      <c r="U56" s="48">
        <f t="shared" si="24"/>
        <v>3.5957738639526098</v>
      </c>
      <c r="V56" s="48">
        <f t="shared" si="24"/>
        <v>2.8713641188959658</v>
      </c>
      <c r="W56" s="48">
        <f t="shared" si="24"/>
        <v>3.3711508290522039</v>
      </c>
    </row>
    <row r="57" spans="1:23" x14ac:dyDescent="0.25">
      <c r="A57" s="1" t="s">
        <v>198</v>
      </c>
      <c r="B57" s="49"/>
      <c r="C57" s="25">
        <v>18.100000000000001</v>
      </c>
      <c r="D57" s="25">
        <v>10.199999999999999</v>
      </c>
      <c r="E57" s="25">
        <v>10.8</v>
      </c>
      <c r="F57" s="25">
        <v>13.6</v>
      </c>
      <c r="G57" s="25">
        <v>20.7</v>
      </c>
      <c r="H57" s="25">
        <v>20.2</v>
      </c>
      <c r="I57" s="25">
        <v>14.8</v>
      </c>
      <c r="J57" s="25">
        <v>12.6</v>
      </c>
      <c r="K57" s="25">
        <v>14.1</v>
      </c>
      <c r="L57" s="25">
        <v>14.3</v>
      </c>
      <c r="M57" s="25">
        <f>M55/('Operating History (Annual)'!N42)</f>
        <v>12.236257016248176</v>
      </c>
      <c r="N57" s="25">
        <f>N55/('Operating History (Annual)'!O42)</f>
        <v>12.337155308718842</v>
      </c>
      <c r="O57" s="25">
        <f>O55/('Operating History (Annual)'!P42)</f>
        <v>11.435370198144343</v>
      </c>
      <c r="P57" s="49" t="s">
        <v>120</v>
      </c>
      <c r="Q57" s="25">
        <f>Q55/('Operating History (Annual)'!R42)</f>
        <v>11.641798053426662</v>
      </c>
      <c r="R57" s="25">
        <f>R55/('Operating History (Annual)'!S42)</f>
        <v>11.522718005728965</v>
      </c>
      <c r="S57" s="25">
        <f>S55/('Operating History (Annual)'!T42)</f>
        <v>16.736992579575656</v>
      </c>
      <c r="T57" s="25">
        <f>T55/('Operating History (Annual)'!U42)</f>
        <v>11.125352800192063</v>
      </c>
      <c r="U57" s="25">
        <f>U55/('Operating History (Annual)'!V42)</f>
        <v>14.68014259710135</v>
      </c>
      <c r="V57" s="25">
        <f>V55/('Operating History (Annual)'!W42)</f>
        <v>16.60410057107827</v>
      </c>
      <c r="W57" s="25">
        <f>W55/('Operating History (Annual)'!X42)</f>
        <v>27.22981411965069</v>
      </c>
    </row>
    <row r="58" spans="1:23" x14ac:dyDescent="0.25">
      <c r="I58" s="21"/>
      <c r="J58" s="21"/>
      <c r="K58" s="21"/>
      <c r="L58" s="21"/>
      <c r="M58" s="21"/>
      <c r="N58" s="21"/>
      <c r="O58" s="21"/>
      <c r="P58" s="21"/>
      <c r="Q58" s="21"/>
      <c r="R58" s="21"/>
      <c r="S58" s="21"/>
      <c r="T58" s="21"/>
      <c r="U58" s="21"/>
      <c r="V58" s="21"/>
      <c r="W58" s="21"/>
    </row>
    <row r="59" spans="1:23" x14ac:dyDescent="0.25">
      <c r="A59" s="51" t="s">
        <v>199</v>
      </c>
      <c r="I59" s="15"/>
      <c r="J59" s="15"/>
      <c r="K59" s="15"/>
      <c r="L59" s="15"/>
      <c r="M59" s="15"/>
      <c r="N59" s="15"/>
      <c r="O59" s="15"/>
      <c r="P59" s="15"/>
      <c r="Q59" s="15"/>
      <c r="R59" s="15"/>
      <c r="S59" s="15"/>
      <c r="T59" s="15"/>
      <c r="U59" s="15"/>
      <c r="V59" s="15"/>
      <c r="W59" s="21"/>
    </row>
    <row r="60" spans="1:23" x14ac:dyDescent="0.25">
      <c r="A60" s="1" t="s">
        <v>187</v>
      </c>
      <c r="B60" s="32">
        <f>B30</f>
        <v>17796.900000000001</v>
      </c>
      <c r="C60" s="32">
        <f t="shared" ref="C60:W60" si="25">C30</f>
        <v>15615.8</v>
      </c>
      <c r="D60" s="32">
        <f t="shared" si="25"/>
        <v>13437.5</v>
      </c>
      <c r="E60" s="32">
        <f t="shared" si="25"/>
        <v>12388.8</v>
      </c>
      <c r="F60" s="32">
        <f t="shared" si="25"/>
        <v>10686.5</v>
      </c>
      <c r="G60" s="32">
        <f t="shared" si="25"/>
        <v>8903.5</v>
      </c>
      <c r="H60" s="32">
        <f t="shared" si="25"/>
        <v>7468.3</v>
      </c>
      <c r="I60" s="32">
        <f t="shared" si="25"/>
        <v>6621.8</v>
      </c>
      <c r="J60" s="32">
        <f t="shared" si="25"/>
        <v>5440.1</v>
      </c>
      <c r="K60" s="32">
        <f t="shared" si="25"/>
        <v>5174.5</v>
      </c>
      <c r="L60" s="32">
        <f t="shared" si="25"/>
        <v>4930.7</v>
      </c>
      <c r="M60" s="32">
        <f t="shared" si="25"/>
        <v>4579.3999999999996</v>
      </c>
      <c r="N60" s="32">
        <f t="shared" si="25"/>
        <v>4353.8</v>
      </c>
      <c r="O60" s="32">
        <f t="shared" si="25"/>
        <v>4172.8999999999996</v>
      </c>
      <c r="P60" s="32">
        <f t="shared" si="25"/>
        <v>4175.8999999999996</v>
      </c>
      <c r="Q60" s="32">
        <f t="shared" si="25"/>
        <v>4210.3999999999996</v>
      </c>
      <c r="R60" s="32">
        <f t="shared" si="25"/>
        <v>4335</v>
      </c>
      <c r="S60" s="32">
        <f t="shared" si="25"/>
        <v>4335.1000000000004</v>
      </c>
      <c r="T60" s="32">
        <f t="shared" si="25"/>
        <v>4108</v>
      </c>
      <c r="U60" s="32">
        <f t="shared" si="25"/>
        <v>3894.7</v>
      </c>
      <c r="V60" s="32">
        <f t="shared" si="25"/>
        <v>3304.3</v>
      </c>
      <c r="W60" s="32">
        <f t="shared" si="25"/>
        <v>2716.7</v>
      </c>
    </row>
    <row r="61" spans="1:23" x14ac:dyDescent="0.25">
      <c r="A61" s="1" t="s">
        <v>188</v>
      </c>
      <c r="B61" s="32">
        <f>B31</f>
        <v>30631.8</v>
      </c>
      <c r="C61" s="32">
        <f t="shared" ref="C61:W61" si="26">C31</f>
        <v>26164.1</v>
      </c>
      <c r="D61" s="32">
        <f t="shared" si="26"/>
        <v>20265.8</v>
      </c>
      <c r="E61" s="32">
        <f t="shared" si="26"/>
        <v>18105.400000000001</v>
      </c>
      <c r="F61" s="32">
        <f t="shared" si="26"/>
        <v>15400.8</v>
      </c>
      <c r="G61" s="32">
        <f t="shared" si="26"/>
        <v>13086.9</v>
      </c>
      <c r="H61" s="32">
        <f t="shared" si="26"/>
        <v>11368</v>
      </c>
      <c r="I61" s="32">
        <f t="shared" si="26"/>
        <v>10039</v>
      </c>
      <c r="J61" s="32">
        <f t="shared" si="26"/>
        <v>8857.4</v>
      </c>
      <c r="K61" s="32">
        <f t="shared" si="26"/>
        <v>8479.7000000000007</v>
      </c>
      <c r="L61" s="32">
        <f t="shared" si="26"/>
        <v>7838.4</v>
      </c>
      <c r="M61" s="32">
        <f t="shared" si="26"/>
        <v>7245.8</v>
      </c>
      <c r="N61" s="32">
        <f t="shared" si="26"/>
        <v>7071</v>
      </c>
      <c r="O61" s="32">
        <f t="shared" si="26"/>
        <v>6653</v>
      </c>
      <c r="P61" s="32">
        <f t="shared" si="26"/>
        <v>6177.4</v>
      </c>
      <c r="Q61" s="32">
        <f t="shared" si="26"/>
        <v>5942.7</v>
      </c>
      <c r="R61" s="32">
        <f t="shared" si="26"/>
        <v>5725</v>
      </c>
      <c r="S61" s="32">
        <f t="shared" si="26"/>
        <v>5660.3</v>
      </c>
      <c r="T61" s="32">
        <f t="shared" si="26"/>
        <v>5285.6</v>
      </c>
      <c r="U61" s="32">
        <f t="shared" si="26"/>
        <v>4576.3</v>
      </c>
      <c r="V61" s="32">
        <f t="shared" si="26"/>
        <v>3813</v>
      </c>
      <c r="W61" s="32">
        <f t="shared" si="26"/>
        <v>3238</v>
      </c>
    </row>
    <row r="62" spans="1:23" x14ac:dyDescent="0.25">
      <c r="A62" s="1" t="s">
        <v>200</v>
      </c>
    </row>
    <row r="63" spans="1:23" x14ac:dyDescent="0.25">
      <c r="A63" s="1" t="s">
        <v>29</v>
      </c>
      <c r="B63" s="32">
        <f>-B18</f>
        <v>-10867.7</v>
      </c>
      <c r="C63" s="32">
        <f t="shared" ref="C63:W63" si="27">-C18</f>
        <v>-9399.5</v>
      </c>
      <c r="D63" s="32">
        <f t="shared" si="27"/>
        <v>-8160.1</v>
      </c>
      <c r="E63" s="32">
        <f t="shared" si="27"/>
        <v>-7507.3</v>
      </c>
      <c r="F63" s="32">
        <f t="shared" si="27"/>
        <v>-6497.1</v>
      </c>
      <c r="G63" s="32">
        <f t="shared" si="27"/>
        <v>-5422.5</v>
      </c>
      <c r="H63" s="32">
        <f t="shared" si="27"/>
        <v>-4509.2</v>
      </c>
      <c r="I63" s="32">
        <f t="shared" si="27"/>
        <v>-3987.7</v>
      </c>
      <c r="J63" s="32">
        <f t="shared" si="27"/>
        <v>-3537.5</v>
      </c>
      <c r="K63" s="32">
        <f t="shared" si="27"/>
        <v>-3310.7</v>
      </c>
      <c r="L63" s="32">
        <f t="shared" si="27"/>
        <v>-3183.7</v>
      </c>
      <c r="M63" s="32">
        <f t="shared" si="27"/>
        <v>-2929.8</v>
      </c>
      <c r="N63" s="32">
        <f t="shared" si="27"/>
        <v>-2738.4</v>
      </c>
      <c r="O63" s="32">
        <f t="shared" si="27"/>
        <v>-2454.8000000000002</v>
      </c>
      <c r="P63" s="32">
        <f t="shared" si="27"/>
        <v>-2408.6</v>
      </c>
      <c r="Q63" s="32">
        <f t="shared" si="27"/>
        <v>-2395.1</v>
      </c>
      <c r="R63" s="32">
        <f t="shared" si="27"/>
        <v>-2498.1999999999998</v>
      </c>
      <c r="S63" s="32">
        <f t="shared" si="27"/>
        <v>-2500.6999999999998</v>
      </c>
      <c r="T63" s="32">
        <f t="shared" si="27"/>
        <v>-2287.1999999999998</v>
      </c>
      <c r="U63" s="32">
        <f t="shared" si="27"/>
        <v>-2079.6</v>
      </c>
      <c r="V63" s="32">
        <f t="shared" si="27"/>
        <v>-1742.8</v>
      </c>
      <c r="W63" s="32">
        <f t="shared" si="27"/>
        <v>-1497.1</v>
      </c>
    </row>
    <row r="64" spans="1:23" x14ac:dyDescent="0.25">
      <c r="A64" s="1" t="s">
        <v>30</v>
      </c>
      <c r="B64" s="32">
        <f>-B19</f>
        <v>-6306.8</v>
      </c>
      <c r="C64" s="32">
        <f t="shared" ref="C64:W64" si="28">-C19</f>
        <v>-4980.5</v>
      </c>
      <c r="D64" s="32">
        <f t="shared" si="28"/>
        <v>-4019.4</v>
      </c>
      <c r="E64" s="32">
        <f t="shared" si="28"/>
        <v>-3378.9</v>
      </c>
      <c r="F64" s="32">
        <f t="shared" si="28"/>
        <v>-2696.1</v>
      </c>
      <c r="G64" s="32">
        <f t="shared" si="28"/>
        <v>-2273.4</v>
      </c>
      <c r="H64" s="32">
        <f t="shared" si="28"/>
        <v>-1884.8</v>
      </c>
      <c r="I64" s="32">
        <f t="shared" si="28"/>
        <v>-1488.8</v>
      </c>
      <c r="J64" s="32">
        <f t="shared" si="28"/>
        <v>-1231.9000000000001</v>
      </c>
      <c r="K64" s="32">
        <f t="shared" si="28"/>
        <v>-1090.2</v>
      </c>
      <c r="L64" s="32">
        <f t="shared" si="28"/>
        <v>-901</v>
      </c>
      <c r="M64" s="32">
        <f t="shared" si="28"/>
        <v>-818</v>
      </c>
      <c r="N64" s="32">
        <f t="shared" si="28"/>
        <v>-741.5</v>
      </c>
      <c r="O64" s="32">
        <f t="shared" si="28"/>
        <v>-564.79999999999995</v>
      </c>
      <c r="P64" s="32">
        <f t="shared" si="28"/>
        <v>-288.5</v>
      </c>
      <c r="Q64" s="32">
        <f t="shared" si="28"/>
        <v>-335.1</v>
      </c>
      <c r="R64" s="32">
        <f t="shared" si="28"/>
        <v>-433.8</v>
      </c>
      <c r="S64" s="32">
        <f t="shared" si="28"/>
        <v>-405.7</v>
      </c>
      <c r="T64" s="32">
        <f t="shared" si="28"/>
        <v>-381.6</v>
      </c>
      <c r="U64" s="32">
        <f t="shared" si="28"/>
        <v>-271.3</v>
      </c>
      <c r="V64" s="32">
        <f t="shared" si="28"/>
        <v>-215.7</v>
      </c>
      <c r="W64" s="32">
        <f t="shared" si="28"/>
        <v>-201.5</v>
      </c>
    </row>
    <row r="65" spans="1:23" x14ac:dyDescent="0.25">
      <c r="A65" s="1" t="s">
        <v>2</v>
      </c>
      <c r="B65" s="32">
        <f>-B20</f>
        <v>-367.5</v>
      </c>
      <c r="C65" s="32">
        <f t="shared" ref="C65:W65" si="29">-C20</f>
        <v>-457.6</v>
      </c>
      <c r="D65" s="32">
        <f t="shared" si="29"/>
        <v>-368.1</v>
      </c>
      <c r="E65" s="32">
        <f t="shared" si="29"/>
        <v>-626.5</v>
      </c>
      <c r="F65" s="32">
        <f t="shared" si="29"/>
        <v>-309.7</v>
      </c>
      <c r="G65" s="32">
        <f t="shared" si="29"/>
        <v>-203.3</v>
      </c>
      <c r="H65" s="32">
        <f t="shared" si="29"/>
        <v>-170.5</v>
      </c>
      <c r="I65" s="32">
        <f t="shared" si="29"/>
        <v>-199.3</v>
      </c>
      <c r="J65" s="32">
        <f t="shared" si="29"/>
        <v>-85.3</v>
      </c>
      <c r="K65" s="32">
        <f t="shared" si="29"/>
        <v>-74.900000000000006</v>
      </c>
      <c r="L65" s="32">
        <f t="shared" si="29"/>
        <v>-66.3</v>
      </c>
      <c r="M65" s="32">
        <f t="shared" si="29"/>
        <v>-69.8</v>
      </c>
      <c r="N65" s="32">
        <f t="shared" si="29"/>
        <v>-88.1</v>
      </c>
      <c r="O65" s="32">
        <f t="shared" si="29"/>
        <v>-69.3</v>
      </c>
      <c r="P65" s="32">
        <f t="shared" si="29"/>
        <v>-62.4</v>
      </c>
      <c r="Q65" s="32">
        <f t="shared" si="29"/>
        <v>-69.8</v>
      </c>
      <c r="R65" s="32">
        <f t="shared" si="29"/>
        <v>-89.5</v>
      </c>
      <c r="S65" s="32">
        <f t="shared" si="29"/>
        <v>-103.7</v>
      </c>
      <c r="T65" s="32">
        <f t="shared" si="29"/>
        <v>-119.8</v>
      </c>
      <c r="U65" s="32">
        <f t="shared" si="29"/>
        <v>-114.7</v>
      </c>
      <c r="V65" s="32">
        <f t="shared" si="29"/>
        <v>-96.7</v>
      </c>
      <c r="W65" s="32">
        <f t="shared" si="29"/>
        <v>-77.599999999999994</v>
      </c>
    </row>
    <row r="66" spans="1:23" x14ac:dyDescent="0.25">
      <c r="A66" s="1" t="s">
        <v>31</v>
      </c>
      <c r="B66" s="32">
        <f>-B21</f>
        <v>-1585.2</v>
      </c>
      <c r="C66" s="32">
        <f t="shared" ref="C66:W66" si="30">-C21</f>
        <v>-1355.6</v>
      </c>
      <c r="D66" s="32">
        <f t="shared" si="30"/>
        <v>-1237.2</v>
      </c>
      <c r="E66" s="32">
        <f t="shared" si="30"/>
        <v>-1056.5</v>
      </c>
      <c r="F66" s="32">
        <f t="shared" si="30"/>
        <v>-951.6</v>
      </c>
      <c r="G66" s="32">
        <f t="shared" si="30"/>
        <v>-780.5</v>
      </c>
      <c r="H66" s="32">
        <f t="shared" si="30"/>
        <v>-651.20000000000005</v>
      </c>
      <c r="I66" s="32">
        <f t="shared" si="30"/>
        <v>-564.1</v>
      </c>
      <c r="J66" s="32">
        <f t="shared" si="30"/>
        <v>-457.2</v>
      </c>
      <c r="K66" s="32">
        <f t="shared" si="30"/>
        <v>-447.6</v>
      </c>
      <c r="L66" s="32">
        <f t="shared" si="30"/>
        <v>-434.5</v>
      </c>
      <c r="M66" s="32">
        <f t="shared" si="30"/>
        <v>-433.6</v>
      </c>
      <c r="N66" s="32">
        <f t="shared" si="30"/>
        <v>-417.2</v>
      </c>
      <c r="O66" s="32">
        <f t="shared" si="30"/>
        <v>-402.2</v>
      </c>
      <c r="P66" s="32">
        <f t="shared" si="30"/>
        <v>-414</v>
      </c>
      <c r="Q66" s="32">
        <f t="shared" si="30"/>
        <v>-426.3</v>
      </c>
      <c r="R66" s="32">
        <f t="shared" si="30"/>
        <v>-441</v>
      </c>
      <c r="S66" s="32">
        <f t="shared" si="30"/>
        <v>-444.8</v>
      </c>
      <c r="T66" s="32">
        <f t="shared" si="30"/>
        <v>-432.2</v>
      </c>
      <c r="U66" s="32">
        <f t="shared" si="30"/>
        <v>-412.3</v>
      </c>
      <c r="V66" s="32">
        <f t="shared" si="30"/>
        <v>-363.5</v>
      </c>
      <c r="W66" s="32">
        <f t="shared" si="30"/>
        <v>-316.60000000000002</v>
      </c>
    </row>
    <row r="67" spans="1:23" ht="20" thickBot="1" x14ac:dyDescent="0.3">
      <c r="A67" s="3" t="s">
        <v>201</v>
      </c>
      <c r="B67" s="50">
        <f>SUM(B60:B66)</f>
        <v>29301.5</v>
      </c>
      <c r="C67" s="50">
        <f t="shared" ref="C67:W67" si="31">SUM(C60:C66)</f>
        <v>25586.699999999997</v>
      </c>
      <c r="D67" s="50">
        <f t="shared" si="31"/>
        <v>19918.500000000004</v>
      </c>
      <c r="E67" s="50">
        <f t="shared" si="31"/>
        <v>17925</v>
      </c>
      <c r="F67" s="50">
        <f t="shared" si="31"/>
        <v>15632.799999999997</v>
      </c>
      <c r="G67" s="50">
        <f t="shared" si="31"/>
        <v>13310.700000000003</v>
      </c>
      <c r="H67" s="50">
        <f t="shared" si="31"/>
        <v>11620.599999999999</v>
      </c>
      <c r="I67" s="50">
        <f t="shared" si="31"/>
        <v>10420.9</v>
      </c>
      <c r="J67" s="50">
        <f t="shared" si="31"/>
        <v>8985.6</v>
      </c>
      <c r="K67" s="50">
        <f t="shared" si="31"/>
        <v>8730.7999999999993</v>
      </c>
      <c r="L67" s="50">
        <f t="shared" si="31"/>
        <v>8183.5999999999985</v>
      </c>
      <c r="M67" s="50">
        <f t="shared" si="31"/>
        <v>7574.0000000000009</v>
      </c>
      <c r="N67" s="50">
        <f t="shared" si="31"/>
        <v>7439.5999999999995</v>
      </c>
      <c r="O67" s="50">
        <f t="shared" si="31"/>
        <v>7334.7999999999984</v>
      </c>
      <c r="P67" s="50">
        <f t="shared" si="31"/>
        <v>7179.7999999999993</v>
      </c>
      <c r="Q67" s="50">
        <f t="shared" si="31"/>
        <v>6926.7999999999975</v>
      </c>
      <c r="R67" s="50">
        <f t="shared" si="31"/>
        <v>6597.5</v>
      </c>
      <c r="S67" s="50">
        <f t="shared" si="31"/>
        <v>6540.5000000000018</v>
      </c>
      <c r="T67" s="50">
        <f t="shared" si="31"/>
        <v>6172.8</v>
      </c>
      <c r="U67" s="50">
        <f t="shared" si="31"/>
        <v>5593.0999999999995</v>
      </c>
      <c r="V67" s="50">
        <f t="shared" si="31"/>
        <v>4698.6000000000004</v>
      </c>
      <c r="W67" s="50">
        <f t="shared" si="31"/>
        <v>3861.9</v>
      </c>
    </row>
    <row r="68" spans="1:23" ht="20" thickTop="1" x14ac:dyDescent="0.25">
      <c r="I68" s="15"/>
      <c r="J68" s="15"/>
      <c r="K68" s="15"/>
      <c r="L68" s="15"/>
      <c r="M68" s="7"/>
      <c r="N68" s="15"/>
      <c r="O68" s="15"/>
      <c r="P68" s="15"/>
      <c r="Q68" s="15"/>
      <c r="R68" s="15"/>
      <c r="S68" s="15"/>
      <c r="T68" s="15"/>
      <c r="U68" s="15"/>
      <c r="V68" s="15"/>
      <c r="W68" s="21"/>
    </row>
    <row r="69" spans="1:23" s="3" customFormat="1" x14ac:dyDescent="0.25">
      <c r="A69" s="3" t="s">
        <v>359</v>
      </c>
      <c r="B69" s="17">
        <f>'Operating History (Annual)'!B48</f>
        <v>0.96474248755835679</v>
      </c>
      <c r="C69" s="17">
        <f>'Operating History (Annual)'!D48</f>
        <v>0.95344916574071359</v>
      </c>
      <c r="D69" s="17">
        <f>'Operating History (Annual)'!E48</f>
        <v>0.87716496525867504</v>
      </c>
      <c r="E69" s="17">
        <f>'Operating History (Annual)'!F48</f>
        <v>0.90917153877609658</v>
      </c>
      <c r="F69" s="17">
        <f>'Operating History (Annual)'!G48</f>
        <v>0.90576498466054378</v>
      </c>
      <c r="G69" s="17">
        <f>'Operating History (Annual)'!H48</f>
        <v>0.93443814394925739</v>
      </c>
      <c r="H69" s="17">
        <f>'Operating History (Annual)'!I48</f>
        <v>0.95145056509744586</v>
      </c>
      <c r="I69" s="17">
        <f>'Operating History (Annual)'!J48</f>
        <v>0.92486092335834291</v>
      </c>
      <c r="J69" s="17">
        <f>'Operating History (Annual)'!K48</f>
        <v>0.92334701198467273</v>
      </c>
      <c r="K69" s="17">
        <f>'Operating History (Annual)'!L48</f>
        <v>0.93451009740753288</v>
      </c>
      <c r="L69" s="17">
        <f>'Operating History (Annual)'!M48</f>
        <v>0.95574353851916594</v>
      </c>
      <c r="M69" s="17">
        <f>'Operating History (Annual)'!N48</f>
        <v>0.92972461550849506</v>
      </c>
      <c r="N69" s="17">
        <f>'Operating History (Annual)'!O48</f>
        <v>0.92430910665884258</v>
      </c>
      <c r="O69" s="17">
        <f>'Operating History (Annual)'!P48</f>
        <v>0.91610527517698104</v>
      </c>
      <c r="P69" s="17">
        <f>'Operating History (Annual)'!Q48</f>
        <v>0.94608770925950381</v>
      </c>
      <c r="Q69" s="17">
        <f>'Operating History (Annual)'!R48</f>
        <v>0.92613169613904633</v>
      </c>
      <c r="R69" s="17">
        <f>'Operating History (Annual)'!S48</f>
        <v>0.86695613370260449</v>
      </c>
      <c r="S69" s="17">
        <f>'Operating History (Annual)'!T48</f>
        <v>0.88091017407224437</v>
      </c>
      <c r="T69" s="17">
        <f>'Operating History (Annual)'!U48</f>
        <v>0.85130486943712558</v>
      </c>
      <c r="U69" s="17">
        <f>'Operating History (Annual)'!V48</f>
        <v>0.87290362401904587</v>
      </c>
      <c r="V69" s="17">
        <f>'Operating History (Annual)'!W48</f>
        <v>0.92361118928350316</v>
      </c>
      <c r="W69" s="17">
        <f>'Operating History (Annual)'!X48</f>
        <v>0.95170208606774831</v>
      </c>
    </row>
    <row r="70" spans="1:23" x14ac:dyDescent="0.25">
      <c r="A70" s="2" t="s">
        <v>360</v>
      </c>
      <c r="I70" s="15"/>
      <c r="J70" s="15"/>
      <c r="K70" s="15"/>
      <c r="L70" s="15"/>
      <c r="M70" s="7"/>
      <c r="N70" s="15"/>
      <c r="O70" s="15"/>
      <c r="P70" s="15"/>
      <c r="Q70" s="15"/>
      <c r="R70" s="15"/>
      <c r="S70" s="15"/>
      <c r="T70" s="15"/>
      <c r="U70" s="15"/>
      <c r="V70" s="15"/>
      <c r="W70" s="21"/>
    </row>
    <row r="71" spans="1:23" x14ac:dyDescent="0.25">
      <c r="I71" s="15"/>
      <c r="J71" s="15"/>
      <c r="K71" s="15"/>
      <c r="L71" s="15"/>
      <c r="M71" s="7"/>
      <c r="N71" s="15"/>
      <c r="O71" s="15"/>
      <c r="P71" s="15"/>
      <c r="Q71" s="15"/>
      <c r="R71" s="15"/>
      <c r="S71" s="15"/>
      <c r="T71" s="15"/>
      <c r="U71" s="15"/>
      <c r="V71" s="15"/>
      <c r="W71" s="21"/>
    </row>
    <row r="72" spans="1:23" x14ac:dyDescent="0.25">
      <c r="A72" s="51" t="s">
        <v>202</v>
      </c>
      <c r="B72" s="3"/>
      <c r="C72" s="3"/>
      <c r="D72" s="3"/>
      <c r="E72" s="3"/>
      <c r="F72" s="3"/>
      <c r="G72" s="3"/>
      <c r="H72" s="3"/>
    </row>
    <row r="73" spans="1:23" x14ac:dyDescent="0.25">
      <c r="A73" s="1" t="s">
        <v>203</v>
      </c>
      <c r="B73" s="14">
        <f>B6/B13</f>
        <v>0.84411928821488091</v>
      </c>
      <c r="C73" s="14">
        <f t="shared" ref="C73:W73" si="32">C6/C13</f>
        <v>0.85167167823954992</v>
      </c>
      <c r="D73" s="14">
        <f t="shared" si="32"/>
        <v>0.77447228399568269</v>
      </c>
      <c r="E73" s="14">
        <f t="shared" si="32"/>
        <v>0.84348211533513529</v>
      </c>
      <c r="F73" s="14">
        <f t="shared" si="32"/>
        <v>0.83746432550629479</v>
      </c>
      <c r="G73" s="14">
        <f t="shared" si="32"/>
        <v>0.74067542447762935</v>
      </c>
      <c r="H73" s="14">
        <f t="shared" si="32"/>
        <v>0.69173771217837876</v>
      </c>
      <c r="I73" s="14">
        <f t="shared" si="32"/>
        <v>0.73229117412464839</v>
      </c>
      <c r="J73" s="14">
        <f t="shared" si="32"/>
        <v>0.71244084551477549</v>
      </c>
      <c r="K73" s="14">
        <f t="shared" si="32"/>
        <v>0.7499653829750702</v>
      </c>
      <c r="L73" s="14">
        <f t="shared" si="32"/>
        <v>0.7146429546902977</v>
      </c>
      <c r="M73" s="14">
        <f t="shared" si="32"/>
        <v>0.73665977573137886</v>
      </c>
      <c r="N73" s="14">
        <f t="shared" si="32"/>
        <v>0.76336369609750443</v>
      </c>
      <c r="O73" s="14">
        <f t="shared" si="32"/>
        <v>0.78590944309269106</v>
      </c>
      <c r="P73" s="14">
        <f t="shared" si="32"/>
        <v>0.76642189534677652</v>
      </c>
      <c r="Q73" s="14">
        <f t="shared" si="32"/>
        <v>0.64841758970992092</v>
      </c>
      <c r="R73" s="14">
        <f t="shared" si="32"/>
        <v>0.67797429403915799</v>
      </c>
      <c r="S73" s="14">
        <f t="shared" si="32"/>
        <v>0.71608510161334382</v>
      </c>
      <c r="T73" s="14">
        <f t="shared" si="32"/>
        <v>0.69441216939305916</v>
      </c>
      <c r="U73" s="14">
        <f t="shared" si="32"/>
        <v>0.72878880971569471</v>
      </c>
      <c r="V73" s="14">
        <f t="shared" si="32"/>
        <v>0.7499295041957158</v>
      </c>
      <c r="W73" s="14">
        <f t="shared" si="32"/>
        <v>0.72316837460340622</v>
      </c>
    </row>
    <row r="74" spans="1:23" x14ac:dyDescent="0.25">
      <c r="A74" s="1" t="s">
        <v>83</v>
      </c>
      <c r="B74" s="14">
        <f>B7/B13</f>
        <v>8.0977787289988251E-2</v>
      </c>
      <c r="C74" s="14">
        <f t="shared" ref="C74:W74" si="33">C7/C13</f>
        <v>1.8297902904253399E-2</v>
      </c>
      <c r="D74" s="14">
        <f t="shared" si="33"/>
        <v>0.10979312144042852</v>
      </c>
      <c r="E74" s="14">
        <f t="shared" si="33"/>
        <v>4.5824279123560983E-2</v>
      </c>
      <c r="F74" s="14">
        <f t="shared" si="33"/>
        <v>5.3501313774674236E-2</v>
      </c>
      <c r="G74" s="14">
        <f t="shared" si="33"/>
        <v>0.10520372359732645</v>
      </c>
      <c r="H74" s="14">
        <f t="shared" si="33"/>
        <v>0.15215095432362685</v>
      </c>
      <c r="I74" s="14">
        <f t="shared" si="33"/>
        <v>0.10373830436589246</v>
      </c>
      <c r="J74" s="14">
        <f t="shared" si="33"/>
        <v>0.1129982122200021</v>
      </c>
      <c r="K74" s="14">
        <f t="shared" si="33"/>
        <v>7.048580148105478E-2</v>
      </c>
      <c r="L74" s="14">
        <f t="shared" si="33"/>
        <v>0.12078540863706716</v>
      </c>
      <c r="M74" s="14">
        <f t="shared" si="33"/>
        <v>9.7212303451732138E-2</v>
      </c>
      <c r="N74" s="14">
        <f t="shared" si="33"/>
        <v>7.0268111367355085E-2</v>
      </c>
      <c r="O74" s="14">
        <f t="shared" si="33"/>
        <v>7.3266546141612404E-2</v>
      </c>
      <c r="P74" s="14">
        <f t="shared" si="33"/>
        <v>8.8888203974387611E-2</v>
      </c>
      <c r="Q74" s="14">
        <f t="shared" si="33"/>
        <v>2.6995926608354336E-2</v>
      </c>
      <c r="R74" s="14">
        <f t="shared" si="33"/>
        <v>3.9566484219698828E-2</v>
      </c>
      <c r="S74" s="14">
        <f t="shared" si="33"/>
        <v>5.4193783407006799E-2</v>
      </c>
      <c r="T74" s="14">
        <f t="shared" si="33"/>
        <v>0.10525149059776794</v>
      </c>
      <c r="U74" s="14">
        <f t="shared" si="33"/>
        <v>5.1706390686466173E-2</v>
      </c>
      <c r="V74" s="14">
        <f t="shared" si="33"/>
        <v>5.5210369203543268E-2</v>
      </c>
      <c r="W74" s="14">
        <f t="shared" si="33"/>
        <v>2.7643047299514972E-2</v>
      </c>
    </row>
    <row r="75" spans="1:23" x14ac:dyDescent="0.25">
      <c r="A75" s="1" t="s">
        <v>204</v>
      </c>
      <c r="B75" s="14">
        <f>B11/B13</f>
        <v>5.0932154158959235E-2</v>
      </c>
      <c r="C75" s="14">
        <f t="shared" ref="C75:W75" si="34">C11/C13</f>
        <v>9.8196416126846833E-2</v>
      </c>
      <c r="D75" s="14">
        <f t="shared" si="34"/>
        <v>8.5271921279688953E-2</v>
      </c>
      <c r="E75" s="14">
        <f t="shared" si="34"/>
        <v>8.422771518024777E-2</v>
      </c>
      <c r="F75" s="14">
        <f t="shared" si="34"/>
        <v>7.823364335635169E-2</v>
      </c>
      <c r="G75" s="14">
        <f t="shared" si="34"/>
        <v>0.12465031696040652</v>
      </c>
      <c r="H75" s="14">
        <f t="shared" si="34"/>
        <v>0.11976527301065469</v>
      </c>
      <c r="I75" s="14">
        <f t="shared" si="34"/>
        <v>0.12659225401556076</v>
      </c>
      <c r="J75" s="14">
        <f t="shared" si="34"/>
        <v>0.13104953202229469</v>
      </c>
      <c r="K75" s="14">
        <f t="shared" si="34"/>
        <v>0.14015741053576078</v>
      </c>
      <c r="L75" s="14">
        <f t="shared" si="34"/>
        <v>0.11526205577979425</v>
      </c>
      <c r="M75" s="14">
        <f t="shared" si="34"/>
        <v>0.1156173651569254</v>
      </c>
      <c r="N75" s="14">
        <f t="shared" si="34"/>
        <v>9.1796900163623948E-2</v>
      </c>
      <c r="O75" s="14">
        <f t="shared" si="34"/>
        <v>5.5473242078649398E-2</v>
      </c>
      <c r="P75" s="14">
        <f t="shared" si="34"/>
        <v>5.6079087077461259E-2</v>
      </c>
      <c r="Q75" s="14">
        <f t="shared" si="34"/>
        <v>0.16431228865309813</v>
      </c>
      <c r="R75" s="14">
        <f t="shared" si="34"/>
        <v>0.16121368079949894</v>
      </c>
      <c r="S75" s="14">
        <f t="shared" si="34"/>
        <v>0.14423420457172481</v>
      </c>
      <c r="T75" s="14">
        <f t="shared" si="34"/>
        <v>0.14156092340620702</v>
      </c>
      <c r="U75" s="14">
        <f t="shared" si="34"/>
        <v>0.15736137819873447</v>
      </c>
      <c r="V75" s="14">
        <f t="shared" si="34"/>
        <v>0.131005513258073</v>
      </c>
      <c r="W75" s="14">
        <f t="shared" si="34"/>
        <v>0.16240594191799473</v>
      </c>
    </row>
    <row r="76" spans="1:23" x14ac:dyDescent="0.25">
      <c r="A76" s="1" t="s">
        <v>205</v>
      </c>
      <c r="B76" s="14">
        <f>B10/B13</f>
        <v>2.3970770336171714E-2</v>
      </c>
      <c r="C76" s="14">
        <f t="shared" ref="C76:W76" si="35">C10/C13</f>
        <v>3.1834002729349831E-2</v>
      </c>
      <c r="D76" s="14">
        <f t="shared" si="35"/>
        <v>3.0462673284199764E-2</v>
      </c>
      <c r="E76" s="14">
        <f t="shared" si="35"/>
        <v>2.6465890361055986E-2</v>
      </c>
      <c r="F76" s="14">
        <f t="shared" si="35"/>
        <v>3.0800717362679267E-2</v>
      </c>
      <c r="G76" s="14">
        <f t="shared" si="35"/>
        <v>2.947053496463755E-2</v>
      </c>
      <c r="H76" s="14">
        <f t="shared" si="35"/>
        <v>3.6346060487339557E-2</v>
      </c>
      <c r="I76" s="14">
        <f t="shared" si="35"/>
        <v>3.737826749389845E-2</v>
      </c>
      <c r="J76" s="14">
        <f t="shared" si="35"/>
        <v>4.3511410242927755E-2</v>
      </c>
      <c r="K76" s="14">
        <f t="shared" si="35"/>
        <v>3.9391405008114229E-2</v>
      </c>
      <c r="L76" s="14">
        <f t="shared" si="35"/>
        <v>4.9309580892840883E-2</v>
      </c>
      <c r="M76" s="14">
        <f t="shared" si="35"/>
        <v>5.0510555659963666E-2</v>
      </c>
      <c r="N76" s="14">
        <f t="shared" si="35"/>
        <v>7.4571292371516551E-2</v>
      </c>
      <c r="O76" s="14">
        <f t="shared" si="35"/>
        <v>8.5350768687047177E-2</v>
      </c>
      <c r="P76" s="14">
        <f t="shared" si="35"/>
        <v>8.8610813601374627E-2</v>
      </c>
      <c r="Q76" s="14">
        <f t="shared" si="35"/>
        <v>0.16027419502862672</v>
      </c>
      <c r="R76" s="14">
        <f t="shared" si="35"/>
        <v>0.12124554094164419</v>
      </c>
      <c r="S76" s="14">
        <f t="shared" si="35"/>
        <v>8.5486910407924499E-2</v>
      </c>
      <c r="T76" s="14">
        <f t="shared" si="35"/>
        <v>5.8775416602965903E-2</v>
      </c>
      <c r="U76" s="14">
        <f t="shared" si="35"/>
        <v>6.2143421399104712E-2</v>
      </c>
      <c r="V76" s="14">
        <f t="shared" si="35"/>
        <v>6.3854613342667954E-2</v>
      </c>
      <c r="W76" s="14">
        <f t="shared" si="35"/>
        <v>8.678263617908416E-2</v>
      </c>
    </row>
    <row r="77" spans="1:23" ht="20" thickBot="1" x14ac:dyDescent="0.3">
      <c r="A77" s="3" t="s">
        <v>206</v>
      </c>
      <c r="B77" s="52">
        <f>SUM(B73:B76)</f>
        <v>1.0000000000000002</v>
      </c>
      <c r="C77" s="52">
        <f t="shared" ref="C77:W77" si="36">SUM(C73:C76)</f>
        <v>1</v>
      </c>
      <c r="D77" s="52">
        <f t="shared" si="36"/>
        <v>0.99999999999999989</v>
      </c>
      <c r="E77" s="52">
        <f t="shared" si="36"/>
        <v>1</v>
      </c>
      <c r="F77" s="52">
        <f t="shared" si="36"/>
        <v>1</v>
      </c>
      <c r="G77" s="52">
        <f t="shared" si="36"/>
        <v>0.99999999999999989</v>
      </c>
      <c r="H77" s="52">
        <f t="shared" si="36"/>
        <v>0.99999999999999978</v>
      </c>
      <c r="I77" s="52">
        <f t="shared" si="36"/>
        <v>1</v>
      </c>
      <c r="J77" s="52">
        <f t="shared" si="36"/>
        <v>1</v>
      </c>
      <c r="K77" s="52">
        <f t="shared" si="36"/>
        <v>1</v>
      </c>
      <c r="L77" s="52">
        <f t="shared" si="36"/>
        <v>1</v>
      </c>
      <c r="M77" s="52">
        <f t="shared" si="36"/>
        <v>1.0000000000000002</v>
      </c>
      <c r="N77" s="52">
        <f t="shared" si="36"/>
        <v>1</v>
      </c>
      <c r="O77" s="52">
        <f t="shared" si="36"/>
        <v>1</v>
      </c>
      <c r="P77" s="52">
        <f t="shared" si="36"/>
        <v>1</v>
      </c>
      <c r="Q77" s="52">
        <f t="shared" si="36"/>
        <v>1</v>
      </c>
      <c r="R77" s="52">
        <f t="shared" si="36"/>
        <v>0.99999999999999989</v>
      </c>
      <c r="S77" s="52">
        <f t="shared" si="36"/>
        <v>1</v>
      </c>
      <c r="T77" s="52">
        <f t="shared" si="36"/>
        <v>1</v>
      </c>
      <c r="U77" s="52">
        <f t="shared" si="36"/>
        <v>1.0000000000000002</v>
      </c>
      <c r="V77" s="52">
        <f t="shared" si="36"/>
        <v>1</v>
      </c>
      <c r="W77" s="52">
        <f t="shared" si="36"/>
        <v>1</v>
      </c>
    </row>
    <row r="78" spans="1:23" ht="20" thickTop="1" x14ac:dyDescent="0.25">
      <c r="C78" s="15"/>
      <c r="D78" s="15"/>
      <c r="E78" s="15"/>
      <c r="F78" s="15"/>
      <c r="G78" s="15"/>
      <c r="H78" s="15"/>
      <c r="I78" s="15"/>
      <c r="J78" s="15"/>
      <c r="K78" s="15"/>
      <c r="L78" s="15"/>
      <c r="M78" s="15"/>
      <c r="N78" s="15"/>
      <c r="O78" s="15"/>
      <c r="P78" s="15"/>
      <c r="Q78" s="15"/>
      <c r="R78" s="15"/>
      <c r="S78" s="15"/>
      <c r="T78" s="15"/>
      <c r="U78" s="15"/>
      <c r="V78" s="15"/>
      <c r="W78" s="15"/>
    </row>
    <row r="79" spans="1:23" x14ac:dyDescent="0.25">
      <c r="A79" s="1" t="s">
        <v>6</v>
      </c>
      <c r="B79" s="15">
        <f>B36/(B36+B46)</f>
        <v>0.30181065603205504</v>
      </c>
      <c r="C79" s="15">
        <f t="shared" ref="C79:W79" si="37">C36/(C36+C46)</f>
        <v>0.2117905440459309</v>
      </c>
      <c r="D79" s="15">
        <f t="shared" si="37"/>
        <v>0.24052472286235166</v>
      </c>
      <c r="E79" s="15">
        <f t="shared" si="37"/>
        <v>0.24375148642445091</v>
      </c>
      <c r="F79" s="15">
        <f t="shared" si="37"/>
        <v>0.28928789560443163</v>
      </c>
      <c r="G79" s="15">
        <f t="shared" si="37"/>
        <v>0.2625902423140154</v>
      </c>
      <c r="H79" s="15">
        <f t="shared" si="37"/>
        <v>0.28348626331571414</v>
      </c>
      <c r="I79" s="15">
        <f t="shared" si="37"/>
        <v>0.27086313304592241</v>
      </c>
      <c r="J79" s="15">
        <f t="shared" si="37"/>
        <v>0.23805439169498421</v>
      </c>
      <c r="K79" s="15">
        <f t="shared" si="37"/>
        <v>0.23115621584020671</v>
      </c>
      <c r="L79" s="15">
        <f t="shared" si="37"/>
        <v>0.25564738974733892</v>
      </c>
      <c r="M79" s="15">
        <f t="shared" si="37"/>
        <v>0.29605518378430806</v>
      </c>
      <c r="N79" s="15">
        <f t="shared" si="37"/>
        <v>0.24455795481510162</v>
      </c>
      <c r="O79" s="15">
        <f t="shared" si="37"/>
        <v>0.27469782230184964</v>
      </c>
      <c r="P79" s="15">
        <f t="shared" si="37"/>
        <v>0.34041121612317699</v>
      </c>
      <c r="Q79" s="15">
        <f t="shared" si="37"/>
        <v>0.30577826539511072</v>
      </c>
      <c r="R79" s="15">
        <f t="shared" si="37"/>
        <v>0.14759527396322258</v>
      </c>
      <c r="S79" s="15">
        <f t="shared" si="37"/>
        <v>0.17381364644770306</v>
      </c>
      <c r="T79" s="15">
        <f t="shared" si="37"/>
        <v>0.19943475627746632</v>
      </c>
      <c r="U79" s="15">
        <f t="shared" si="37"/>
        <v>0.22848291515857921</v>
      </c>
      <c r="V79" s="15">
        <f t="shared" si="37"/>
        <v>0.28324139242914209</v>
      </c>
      <c r="W79" s="15">
        <f t="shared" si="37"/>
        <v>0.25209368672924715</v>
      </c>
    </row>
    <row r="80" spans="1:23" x14ac:dyDescent="0.25">
      <c r="I80" s="15"/>
      <c r="J80" s="15"/>
      <c r="K80" s="15"/>
      <c r="L80" s="15"/>
      <c r="M80" s="15"/>
      <c r="N80" s="15"/>
      <c r="O80" s="15"/>
      <c r="P80" s="15"/>
      <c r="Q80" s="15"/>
      <c r="R80" s="15"/>
      <c r="S80" s="15"/>
      <c r="T80" s="15"/>
      <c r="U80" s="15"/>
      <c r="V80" s="15"/>
      <c r="W80" s="21"/>
    </row>
    <row r="81" spans="1:23" x14ac:dyDescent="0.25">
      <c r="A81" s="3" t="s">
        <v>21</v>
      </c>
      <c r="B81" s="17">
        <f>(B13+B16)/B46</f>
        <v>3.5662551941635874</v>
      </c>
      <c r="C81" s="17">
        <f t="shared" ref="C81:W81" si="38">(C13+C16)/C46</f>
        <v>2.8366243226047079</v>
      </c>
      <c r="D81" s="17">
        <f t="shared" si="38"/>
        <v>2.79405584965901</v>
      </c>
      <c r="E81" s="17">
        <f t="shared" si="38"/>
        <v>2.8875245004826962</v>
      </c>
      <c r="F81" s="17">
        <f t="shared" si="38"/>
        <v>3.1087619434844478</v>
      </c>
      <c r="G81" s="17">
        <f t="shared" si="38"/>
        <v>2.967215233499914</v>
      </c>
      <c r="H81" s="17">
        <f t="shared" si="38"/>
        <v>2.9796031217403334</v>
      </c>
      <c r="I81" s="17">
        <f t="shared" si="38"/>
        <v>2.903078442670179</v>
      </c>
      <c r="J81" s="17">
        <f t="shared" si="38"/>
        <v>2.7604999567012096</v>
      </c>
      <c r="K81" s="17">
        <f t="shared" si="38"/>
        <v>2.9291218999919217</v>
      </c>
      <c r="L81" s="17">
        <f t="shared" si="38"/>
        <v>2.7725320459463956</v>
      </c>
      <c r="M81" s="17">
        <f t="shared" si="38"/>
        <v>2.7758795873732067</v>
      </c>
      <c r="N81" s="17">
        <f t="shared" si="38"/>
        <v>2.5925870819487842</v>
      </c>
      <c r="O81" s="17">
        <f t="shared" si="38"/>
        <v>2.5874299829523713</v>
      </c>
      <c r="P81" s="17">
        <f t="shared" si="38"/>
        <v>3.0794961212725065</v>
      </c>
      <c r="Q81" s="17">
        <f t="shared" si="38"/>
        <v>2.8712187215074456</v>
      </c>
      <c r="R81" s="17">
        <f t="shared" si="38"/>
        <v>2.1462915899862707</v>
      </c>
      <c r="S81" s="17">
        <f t="shared" si="38"/>
        <v>2.3381580024559967</v>
      </c>
      <c r="T81" s="17">
        <f t="shared" si="38"/>
        <v>2.541412887457811</v>
      </c>
      <c r="U81" s="17">
        <f t="shared" si="38"/>
        <v>2.4936190514053989</v>
      </c>
      <c r="V81" s="17">
        <f t="shared" si="38"/>
        <v>2.7338641188959656</v>
      </c>
      <c r="W81" s="17">
        <f t="shared" si="38"/>
        <v>2.5340695850124586</v>
      </c>
    </row>
    <row r="82" spans="1:23" x14ac:dyDescent="0.25">
      <c r="A82" s="3" t="s">
        <v>20</v>
      </c>
      <c r="B82" s="17">
        <f>B12/B46</f>
        <v>0.26527117932892086</v>
      </c>
      <c r="C82" s="17">
        <f t="shared" ref="C82:W82" si="39">C12/C46</f>
        <v>0.36740604225630219</v>
      </c>
      <c r="D82" s="17">
        <f t="shared" si="39"/>
        <v>0.32284929512988159</v>
      </c>
      <c r="E82" s="17">
        <f t="shared" si="39"/>
        <v>0.31778954451042918</v>
      </c>
      <c r="F82" s="17">
        <f t="shared" si="39"/>
        <v>0.33820621338409501</v>
      </c>
      <c r="G82" s="17">
        <f t="shared" si="39"/>
        <v>0.45273996208857487</v>
      </c>
      <c r="H82" s="17">
        <f t="shared" si="39"/>
        <v>0.4607080469015094</v>
      </c>
      <c r="I82" s="17">
        <f t="shared" si="39"/>
        <v>0.47097154772683625</v>
      </c>
      <c r="J82" s="17">
        <f t="shared" si="39"/>
        <v>0.47914441589931589</v>
      </c>
      <c r="K82" s="17">
        <f t="shared" si="39"/>
        <v>0.52374182082559173</v>
      </c>
      <c r="L82" s="17">
        <f t="shared" si="39"/>
        <v>0.4513733977026802</v>
      </c>
      <c r="M82" s="17">
        <f t="shared" si="39"/>
        <v>0.45669657464652896</v>
      </c>
      <c r="N82" s="17">
        <f t="shared" si="39"/>
        <v>0.42695366099621418</v>
      </c>
      <c r="O82" s="17">
        <f t="shared" si="39"/>
        <v>0.36043558431618139</v>
      </c>
      <c r="P82" s="17">
        <f t="shared" si="39"/>
        <v>0.44547244561478411</v>
      </c>
      <c r="Q82" s="17">
        <f t="shared" si="39"/>
        <v>0.93157734778644519</v>
      </c>
      <c r="R82" s="17">
        <f t="shared" si="39"/>
        <v>0.60600882189700012</v>
      </c>
      <c r="S82" s="17">
        <f t="shared" si="39"/>
        <v>0.53691363078182563</v>
      </c>
      <c r="T82" s="17">
        <f t="shared" si="39"/>
        <v>0.50836016603949252</v>
      </c>
      <c r="U82" s="17">
        <f t="shared" si="39"/>
        <v>0.5468333797161371</v>
      </c>
      <c r="V82" s="17">
        <f t="shared" si="39"/>
        <v>0.53184713375796178</v>
      </c>
      <c r="W82" s="17">
        <f t="shared" si="39"/>
        <v>0.63060263943150707</v>
      </c>
    </row>
    <row r="83" spans="1:23" x14ac:dyDescent="0.25">
      <c r="A83" s="3" t="s">
        <v>207</v>
      </c>
      <c r="B83" s="17">
        <f>B8/B67</f>
        <v>1.6521577393648788</v>
      </c>
      <c r="C83" s="17">
        <f t="shared" ref="C83:W83" si="40">C8/C67</f>
        <v>1.7515232523146791</v>
      </c>
      <c r="D83" s="17">
        <f t="shared" si="40"/>
        <v>2.1100685292567207</v>
      </c>
      <c r="E83" s="17">
        <f t="shared" si="40"/>
        <v>1.9475090655509069</v>
      </c>
      <c r="F83" s="17">
        <f t="shared" si="40"/>
        <v>1.9131185712092527</v>
      </c>
      <c r="G83" s="17">
        <f t="shared" si="40"/>
        <v>1.7332747338607284</v>
      </c>
      <c r="H83" s="17">
        <f t="shared" si="40"/>
        <v>1.7053078154312173</v>
      </c>
      <c r="I83" s="17">
        <f t="shared" si="40"/>
        <v>1.6797205615637807</v>
      </c>
      <c r="J83" s="17">
        <f t="shared" si="40"/>
        <v>1.747039707977208</v>
      </c>
      <c r="K83" s="17">
        <f t="shared" si="40"/>
        <v>1.6966371924680443</v>
      </c>
      <c r="L83" s="17">
        <f t="shared" si="40"/>
        <v>1.6819126056992035</v>
      </c>
      <c r="M83" s="17">
        <f t="shared" si="40"/>
        <v>1.7574729337206227</v>
      </c>
      <c r="N83" s="17">
        <f t="shared" si="40"/>
        <v>1.739448357438572</v>
      </c>
      <c r="O83" s="17">
        <f t="shared" si="40"/>
        <v>1.7234825762120307</v>
      </c>
      <c r="P83" s="17">
        <f t="shared" si="40"/>
        <v>1.5460458508593558</v>
      </c>
      <c r="Q83" s="17">
        <f t="shared" si="40"/>
        <v>1.3812005543685399</v>
      </c>
      <c r="R83" s="17">
        <f t="shared" si="40"/>
        <v>1.5975899962106859</v>
      </c>
      <c r="S83" s="17">
        <f t="shared" si="40"/>
        <v>1.6811405855821415</v>
      </c>
      <c r="T83" s="17">
        <f t="shared" si="40"/>
        <v>1.6947252462415756</v>
      </c>
      <c r="U83" s="17">
        <f t="shared" si="40"/>
        <v>1.7488333839909891</v>
      </c>
      <c r="V83" s="17">
        <f t="shared" si="40"/>
        <v>1.7622908951602603</v>
      </c>
      <c r="W83" s="17">
        <f t="shared" si="40"/>
        <v>1.5993163986638699</v>
      </c>
    </row>
    <row r="84" spans="1:23" x14ac:dyDescent="0.25">
      <c r="I84" s="21"/>
      <c r="J84" s="21"/>
      <c r="K84" s="21"/>
      <c r="L84" s="21"/>
      <c r="M84" s="21"/>
      <c r="N84" s="21"/>
      <c r="O84" s="21"/>
      <c r="P84" s="21"/>
      <c r="Q84" s="21"/>
      <c r="R84" s="21"/>
      <c r="S84" s="21"/>
      <c r="T84" s="21"/>
      <c r="U84" s="21"/>
      <c r="V84" s="21"/>
      <c r="W84" s="21"/>
    </row>
    <row r="85" spans="1:23" x14ac:dyDescent="0.25">
      <c r="A85" s="51" t="s">
        <v>22</v>
      </c>
      <c r="B85" s="3"/>
      <c r="C85" s="3"/>
      <c r="D85" s="3"/>
      <c r="E85" s="3"/>
      <c r="F85" s="3"/>
      <c r="G85" s="3"/>
      <c r="H85" s="3"/>
      <c r="I85" s="21"/>
      <c r="J85" s="21"/>
      <c r="K85" s="21"/>
      <c r="L85" s="21"/>
      <c r="M85" s="21"/>
      <c r="N85" s="21"/>
      <c r="O85" s="21"/>
      <c r="P85" s="21"/>
      <c r="Q85" s="21"/>
      <c r="R85" s="21"/>
      <c r="S85" s="21"/>
      <c r="T85" s="21"/>
      <c r="U85" s="21"/>
      <c r="V85" s="21"/>
      <c r="W85" s="21"/>
    </row>
    <row r="86" spans="1:23" x14ac:dyDescent="0.25">
      <c r="A86" s="1" t="s">
        <v>1</v>
      </c>
      <c r="B86" s="14">
        <f>B16/B27</f>
        <v>4.8368602381753129E-3</v>
      </c>
      <c r="C86" s="14">
        <f t="shared" ref="C86:W86" si="41">C16/C27</f>
        <v>2.8411846657566252E-3</v>
      </c>
      <c r="D86" s="14">
        <f t="shared" si="41"/>
        <v>1.1934793902490394E-3</v>
      </c>
      <c r="E86" s="14">
        <f t="shared" si="41"/>
        <v>4.1424311370918815E-3</v>
      </c>
      <c r="F86" s="14">
        <f t="shared" si="41"/>
        <v>1.6103059581320449E-3</v>
      </c>
      <c r="G86" s="14">
        <f t="shared" si="41"/>
        <v>7.1134745175860173E-3</v>
      </c>
      <c r="H86" s="14">
        <f t="shared" si="41"/>
        <v>6.7728666517089227E-3</v>
      </c>
      <c r="I86" s="14">
        <f t="shared" si="41"/>
        <v>7.5253275563141988E-3</v>
      </c>
      <c r="J86" s="14">
        <f t="shared" si="41"/>
        <v>4.2035707084024879E-3</v>
      </c>
      <c r="K86" s="14">
        <f t="shared" si="41"/>
        <v>3.0768348341950655E-3</v>
      </c>
      <c r="L86" s="14">
        <f t="shared" si="41"/>
        <v>7.8917103993443403E-3</v>
      </c>
      <c r="M86" s="14">
        <f t="shared" si="41"/>
        <v>7.1275543836519448E-3</v>
      </c>
      <c r="N86" s="14">
        <f t="shared" si="41"/>
        <v>7.5128957981683477E-3</v>
      </c>
      <c r="O86" s="14">
        <f t="shared" si="41"/>
        <v>8.0152424274164188E-3</v>
      </c>
      <c r="P86" s="14">
        <f t="shared" si="41"/>
        <v>1.5889975617106381E-4</v>
      </c>
      <c r="Q86" s="14">
        <f t="shared" si="41"/>
        <v>3.0780497901088463E-4</v>
      </c>
      <c r="R86" s="14">
        <f t="shared" si="41"/>
        <v>2.8744334542990741E-4</v>
      </c>
      <c r="S86" s="14">
        <f t="shared" si="41"/>
        <v>2.9631824579598486E-4</v>
      </c>
      <c r="T86" s="14">
        <f t="shared" si="41"/>
        <v>1.1638530519136655E-3</v>
      </c>
      <c r="U86" s="14">
        <f t="shared" si="41"/>
        <v>7.4317476890949845E-4</v>
      </c>
      <c r="V86" s="14">
        <f t="shared" si="41"/>
        <v>1.2459084073014658E-3</v>
      </c>
      <c r="W86" s="14">
        <f t="shared" si="41"/>
        <v>1.0069769114579587E-3</v>
      </c>
    </row>
    <row r="87" spans="1:23" x14ac:dyDescent="0.25">
      <c r="A87" s="1" t="s">
        <v>23</v>
      </c>
      <c r="B87" s="14">
        <f>B6/B27</f>
        <v>0.58488669856814113</v>
      </c>
      <c r="C87" s="14">
        <f t="shared" ref="C87:W87" si="42">C6/C27</f>
        <v>0.61678168708167735</v>
      </c>
      <c r="D87" s="14">
        <f t="shared" si="42"/>
        <v>0.57428824165383485</v>
      </c>
      <c r="E87" s="14">
        <f t="shared" si="42"/>
        <v>0.60315363974693648</v>
      </c>
      <c r="F87" s="14">
        <f t="shared" si="42"/>
        <v>0.603574879227053</v>
      </c>
      <c r="G87" s="14">
        <f t="shared" si="42"/>
        <v>0.52199156615298747</v>
      </c>
      <c r="H87" s="14">
        <f t="shared" si="42"/>
        <v>0.48594121606461743</v>
      </c>
      <c r="I87" s="14">
        <f t="shared" si="42"/>
        <v>0.51417035275811296</v>
      </c>
      <c r="J87" s="14">
        <f t="shared" si="42"/>
        <v>0.52541531588825641</v>
      </c>
      <c r="K87" s="14">
        <f t="shared" si="42"/>
        <v>0.55474799452642964</v>
      </c>
      <c r="L87" s="14">
        <f t="shared" si="42"/>
        <v>0.5188039498208834</v>
      </c>
      <c r="M87" s="14">
        <f t="shared" si="42"/>
        <v>0.5383111770306892</v>
      </c>
      <c r="N87" s="14">
        <f t="shared" si="42"/>
        <v>0.56027574076963449</v>
      </c>
      <c r="O87" s="14">
        <f t="shared" si="42"/>
        <v>0.5767483154025328</v>
      </c>
      <c r="P87" s="14">
        <f t="shared" si="42"/>
        <v>0.54500972576093809</v>
      </c>
      <c r="Q87" s="14">
        <f t="shared" si="42"/>
        <v>0.48744102615811624</v>
      </c>
      <c r="R87" s="14">
        <f t="shared" si="42"/>
        <v>0.51118205942891159</v>
      </c>
      <c r="S87" s="14">
        <f t="shared" si="42"/>
        <v>0.54088133512535308</v>
      </c>
      <c r="T87" s="14">
        <f t="shared" si="42"/>
        <v>0.52863951397496545</v>
      </c>
      <c r="U87" s="14">
        <f t="shared" si="42"/>
        <v>0.56096796978165397</v>
      </c>
      <c r="V87" s="14">
        <f t="shared" si="42"/>
        <v>0.56858394031435233</v>
      </c>
      <c r="W87" s="14">
        <f t="shared" si="42"/>
        <v>0.53486657555923178</v>
      </c>
    </row>
    <row r="88" spans="1:23" x14ac:dyDescent="0.25">
      <c r="A88" s="1" t="s">
        <v>24</v>
      </c>
      <c r="B88" s="14">
        <f>B12/B27</f>
        <v>5.1899920820081519E-2</v>
      </c>
      <c r="C88" s="14">
        <f t="shared" ref="C88:W88" si="43">C12/C27</f>
        <v>9.4168190821891026E-2</v>
      </c>
      <c r="D88" s="14">
        <f t="shared" si="43"/>
        <v>8.5819748729685494E-2</v>
      </c>
      <c r="E88" s="14">
        <f t="shared" si="43"/>
        <v>7.9154317400578933E-2</v>
      </c>
      <c r="F88" s="14">
        <f t="shared" si="43"/>
        <v>7.8582930756843791E-2</v>
      </c>
      <c r="G88" s="14">
        <f t="shared" si="43"/>
        <v>0.10861678707636972</v>
      </c>
      <c r="H88" s="14">
        <f t="shared" si="43"/>
        <v>0.1096671901877197</v>
      </c>
      <c r="I88" s="14">
        <f t="shared" si="43"/>
        <v>0.11513013383949321</v>
      </c>
      <c r="J88" s="14">
        <f t="shared" si="43"/>
        <v>0.12873629186120461</v>
      </c>
      <c r="K88" s="14">
        <f t="shared" si="43"/>
        <v>0.13281192386165305</v>
      </c>
      <c r="L88" s="14">
        <f t="shared" si="43"/>
        <v>0.11947282845774566</v>
      </c>
      <c r="M88" s="14">
        <f t="shared" si="43"/>
        <v>0.12139731194609242</v>
      </c>
      <c r="N88" s="14">
        <f t="shared" si="43"/>
        <v>0.12210701503051966</v>
      </c>
      <c r="O88" s="14">
        <f t="shared" si="43"/>
        <v>0.10334525394901568</v>
      </c>
      <c r="P88" s="14">
        <f t="shared" si="43"/>
        <v>0.10289033177173228</v>
      </c>
      <c r="Q88" s="14">
        <f t="shared" si="43"/>
        <v>0.24400443663728369</v>
      </c>
      <c r="R88" s="14">
        <f t="shared" si="43"/>
        <v>0.21296985437914803</v>
      </c>
      <c r="S88" s="14">
        <f t="shared" si="43"/>
        <v>0.17351549850253456</v>
      </c>
      <c r="T88" s="14">
        <f t="shared" si="43"/>
        <v>0.15251130392276674</v>
      </c>
      <c r="U88" s="14">
        <f t="shared" si="43"/>
        <v>0.16895863403249084</v>
      </c>
      <c r="V88" s="14">
        <f t="shared" si="43"/>
        <v>0.14773967149302589</v>
      </c>
      <c r="W88" s="14">
        <f t="shared" si="43"/>
        <v>0.18430374739264907</v>
      </c>
    </row>
    <row r="89" spans="1:23" x14ac:dyDescent="0.25">
      <c r="A89" s="1" t="s">
        <v>25</v>
      </c>
      <c r="B89" s="14">
        <f>B31/B27</f>
        <v>0.40558920187171793</v>
      </c>
      <c r="C89" s="14">
        <f t="shared" ref="C89:W89" si="44">C31/C27</f>
        <v>0.36782305647364133</v>
      </c>
      <c r="D89" s="14">
        <f t="shared" si="44"/>
        <v>0.31616751146286248</v>
      </c>
      <c r="E89" s="14">
        <f t="shared" si="44"/>
        <v>0.32981694243405174</v>
      </c>
      <c r="F89" s="14">
        <f t="shared" si="44"/>
        <v>0.33066666666666661</v>
      </c>
      <c r="G89" s="14">
        <f t="shared" si="44"/>
        <v>0.33815230535487267</v>
      </c>
      <c r="H89" s="14">
        <f t="shared" si="44"/>
        <v>0.34007927604517241</v>
      </c>
      <c r="I89" s="14">
        <f t="shared" si="44"/>
        <v>0.33666115569446631</v>
      </c>
      <c r="J89" s="14">
        <f t="shared" si="44"/>
        <v>0.3434751586033597</v>
      </c>
      <c r="K89" s="14">
        <f t="shared" si="44"/>
        <v>0.34741193533320774</v>
      </c>
      <c r="L89" s="14">
        <f t="shared" si="44"/>
        <v>0.34538460521619591</v>
      </c>
      <c r="M89" s="14">
        <f t="shared" si="44"/>
        <v>0.33169449937742623</v>
      </c>
      <c r="N89" s="14">
        <f t="shared" si="44"/>
        <v>0.33432149898583002</v>
      </c>
      <c r="O89" s="14">
        <f t="shared" si="44"/>
        <v>0.33183203403610101</v>
      </c>
      <c r="P89" s="14">
        <f t="shared" si="44"/>
        <v>0.33847839785211364</v>
      </c>
      <c r="Q89" s="14">
        <f t="shared" si="44"/>
        <v>0.31537804289103172</v>
      </c>
      <c r="R89" s="14">
        <f t="shared" si="44"/>
        <v>0.29385949153325358</v>
      </c>
      <c r="S89" s="14">
        <f t="shared" si="44"/>
        <v>0.29950895833553803</v>
      </c>
      <c r="T89" s="14">
        <f t="shared" si="44"/>
        <v>0.30758308455974354</v>
      </c>
      <c r="U89" s="14">
        <f t="shared" si="44"/>
        <v>0.2810736111537635</v>
      </c>
      <c r="V89" s="14">
        <f t="shared" si="44"/>
        <v>0.28110347674795794</v>
      </c>
      <c r="W89" s="14">
        <f t="shared" si="44"/>
        <v>0.29112421779472059</v>
      </c>
    </row>
    <row r="90" spans="1:23" x14ac:dyDescent="0.25">
      <c r="A90" s="1" t="s">
        <v>26</v>
      </c>
      <c r="B90" s="14">
        <f>B36/B27</f>
        <v>8.457421594667669E-2</v>
      </c>
      <c r="C90" s="14">
        <f t="shared" ref="C90:W90" si="45">C36/C27</f>
        <v>6.8868854233590085E-2</v>
      </c>
      <c r="D90" s="14">
        <f t="shared" si="45"/>
        <v>8.4184759970233225E-2</v>
      </c>
      <c r="E90" s="14">
        <f t="shared" si="45"/>
        <v>8.0281918488468051E-2</v>
      </c>
      <c r="F90" s="14">
        <f t="shared" si="45"/>
        <v>9.4576489533011246E-2</v>
      </c>
      <c r="G90" s="14">
        <f t="shared" si="45"/>
        <v>8.5431459489628228E-2</v>
      </c>
      <c r="H90" s="14">
        <f t="shared" si="45"/>
        <v>9.4179941664796943E-2</v>
      </c>
      <c r="I90" s="14">
        <f t="shared" si="45"/>
        <v>9.0810314125415417E-2</v>
      </c>
      <c r="J90" s="14">
        <f t="shared" si="45"/>
        <v>8.3943445687074389E-2</v>
      </c>
      <c r="K90" s="14">
        <f t="shared" si="45"/>
        <v>7.6240771543989325E-2</v>
      </c>
      <c r="L90" s="14">
        <f t="shared" si="45"/>
        <v>9.0906687464474098E-2</v>
      </c>
      <c r="M90" s="14">
        <f t="shared" si="45"/>
        <v>0.11179319563465905</v>
      </c>
      <c r="N90" s="14">
        <f t="shared" si="45"/>
        <v>9.258497515401673E-2</v>
      </c>
      <c r="O90" s="14">
        <f t="shared" si="45"/>
        <v>0.10859231993136917</v>
      </c>
      <c r="P90" s="14">
        <f t="shared" si="45"/>
        <v>0.11920221363798252</v>
      </c>
      <c r="Q90" s="14">
        <f t="shared" si="45"/>
        <v>0.11536849032271761</v>
      </c>
      <c r="R90" s="14">
        <f t="shared" si="45"/>
        <v>6.0850729644134863E-2</v>
      </c>
      <c r="S90" s="14">
        <f t="shared" si="45"/>
        <v>6.7989163218439452E-2</v>
      </c>
      <c r="T90" s="14">
        <f t="shared" si="45"/>
        <v>7.473682372863602E-2</v>
      </c>
      <c r="U90" s="14">
        <f t="shared" si="45"/>
        <v>9.1502625679452138E-2</v>
      </c>
      <c r="V90" s="14">
        <f t="shared" si="45"/>
        <v>0.10977264014626524</v>
      </c>
      <c r="W90" s="14">
        <f t="shared" si="45"/>
        <v>9.8512910882543339E-2</v>
      </c>
    </row>
    <row r="91" spans="1:23" x14ac:dyDescent="0.25">
      <c r="A91" s="1" t="s">
        <v>27</v>
      </c>
      <c r="B91" s="14">
        <f>B46/B27</f>
        <v>0.19564854708821808</v>
      </c>
      <c r="C91" s="14">
        <f t="shared" ref="C91:W91" si="46">C46/C27</f>
        <v>0.25630550396936413</v>
      </c>
      <c r="D91" s="14">
        <f t="shared" si="46"/>
        <v>0.26581984233591216</v>
      </c>
      <c r="E91" s="14">
        <f t="shared" si="46"/>
        <v>0.24907778990186774</v>
      </c>
      <c r="F91" s="14">
        <f t="shared" si="46"/>
        <v>0.23235212023617818</v>
      </c>
      <c r="G91" s="14">
        <f t="shared" si="46"/>
        <v>0.23990987359565077</v>
      </c>
      <c r="H91" s="14">
        <f t="shared" si="46"/>
        <v>0.23804053548724852</v>
      </c>
      <c r="I91" s="14">
        <f t="shared" si="46"/>
        <v>0.24445241840016363</v>
      </c>
      <c r="J91" s="14">
        <f t="shared" si="46"/>
        <v>0.2686795203896446</v>
      </c>
      <c r="K91" s="14">
        <f t="shared" si="46"/>
        <v>0.25358281233356006</v>
      </c>
      <c r="L91" s="14">
        <f t="shared" si="46"/>
        <v>0.2646873499098909</v>
      </c>
      <c r="M91" s="14">
        <f t="shared" si="46"/>
        <v>0.26581612099904783</v>
      </c>
      <c r="N91" s="14">
        <f t="shared" si="46"/>
        <v>0.28599594331995293</v>
      </c>
      <c r="O91" s="14">
        <f t="shared" si="46"/>
        <v>0.28672322724484145</v>
      </c>
      <c r="P91" s="14">
        <f t="shared" si="46"/>
        <v>0.2309690145475467</v>
      </c>
      <c r="Q91" s="14">
        <f t="shared" si="46"/>
        <v>0.26192611619107259</v>
      </c>
      <c r="R91" s="14">
        <f t="shared" si="46"/>
        <v>0.35143028728935788</v>
      </c>
      <c r="S91" s="14">
        <f t="shared" si="46"/>
        <v>0.32317208682124599</v>
      </c>
      <c r="T91" s="14">
        <f t="shared" si="46"/>
        <v>0.30000640119178557</v>
      </c>
      <c r="U91" s="14">
        <f t="shared" si="46"/>
        <v>0.30897644565918375</v>
      </c>
      <c r="V91" s="14">
        <f t="shared" si="46"/>
        <v>0.27778596915455167</v>
      </c>
      <c r="W91" s="14">
        <f t="shared" si="46"/>
        <v>0.29226605768539166</v>
      </c>
    </row>
    <row r="92" spans="1:23" x14ac:dyDescent="0.25">
      <c r="L92" s="21"/>
      <c r="M92" s="21"/>
      <c r="N92" s="21"/>
      <c r="O92" s="21"/>
      <c r="P92" s="21"/>
      <c r="Q92" s="21"/>
      <c r="R92" s="21"/>
      <c r="S92" s="21"/>
      <c r="T92" s="21"/>
      <c r="U92" s="21"/>
    </row>
    <row r="93" spans="1:23" x14ac:dyDescent="0.25">
      <c r="A93" s="51" t="s">
        <v>370</v>
      </c>
      <c r="L93" s="21"/>
      <c r="M93" s="21"/>
      <c r="N93" s="21"/>
      <c r="O93" s="21"/>
      <c r="P93" s="21"/>
      <c r="Q93" s="21"/>
      <c r="R93" s="21"/>
      <c r="S93" s="21"/>
      <c r="T93" s="21"/>
      <c r="U93" s="21"/>
    </row>
    <row r="94" spans="1:23" x14ac:dyDescent="0.25">
      <c r="A94" s="3" t="s">
        <v>371</v>
      </c>
      <c r="B94" s="194">
        <f>B13</f>
        <v>52330.399999999994</v>
      </c>
      <c r="C94" s="194">
        <f t="shared" ref="C94:W94" si="47">C13</f>
        <v>51514.1</v>
      </c>
      <c r="D94" s="194">
        <f t="shared" si="47"/>
        <v>47530.3</v>
      </c>
      <c r="E94" s="194">
        <f t="shared" si="47"/>
        <v>39254.300000000003</v>
      </c>
      <c r="F94" s="194">
        <f t="shared" si="47"/>
        <v>33567.4</v>
      </c>
      <c r="G94" s="194">
        <f t="shared" si="47"/>
        <v>27274.700000000004</v>
      </c>
      <c r="H94" s="194">
        <f t="shared" si="47"/>
        <v>23482.600000000002</v>
      </c>
      <c r="I94" s="194">
        <f t="shared" si="47"/>
        <v>20937.3</v>
      </c>
      <c r="J94" s="194">
        <f t="shared" si="47"/>
        <v>19018</v>
      </c>
      <c r="K94" s="194">
        <f t="shared" si="47"/>
        <v>18054.7</v>
      </c>
      <c r="L94" s="194">
        <f t="shared" si="47"/>
        <v>16475.5</v>
      </c>
      <c r="M94" s="194">
        <f t="shared" si="47"/>
        <v>15962.999999999998</v>
      </c>
      <c r="N94" s="194">
        <f t="shared" si="47"/>
        <v>15523.4</v>
      </c>
      <c r="O94" s="194">
        <f t="shared" si="47"/>
        <v>14713.4</v>
      </c>
      <c r="P94" s="194">
        <f t="shared" si="47"/>
        <v>12978.1</v>
      </c>
      <c r="Q94" s="194">
        <f t="shared" si="47"/>
        <v>14165.099999999999</v>
      </c>
      <c r="R94" s="194">
        <f t="shared" si="47"/>
        <v>14689.2</v>
      </c>
      <c r="S94" s="194">
        <f t="shared" si="47"/>
        <v>14274.7</v>
      </c>
      <c r="T94" s="194">
        <f t="shared" si="47"/>
        <v>13082</v>
      </c>
      <c r="U94" s="194">
        <f t="shared" si="47"/>
        <v>12532.3</v>
      </c>
      <c r="V94" s="194">
        <f t="shared" si="47"/>
        <v>10284.299999999999</v>
      </c>
      <c r="W94" s="194">
        <f t="shared" si="47"/>
        <v>8226.2999999999993</v>
      </c>
    </row>
    <row r="95" spans="1:23" x14ac:dyDescent="0.25">
      <c r="A95" s="3"/>
      <c r="B95" s="194"/>
      <c r="C95" s="194"/>
      <c r="D95" s="194"/>
      <c r="E95" s="194"/>
      <c r="F95" s="194"/>
      <c r="G95" s="194"/>
      <c r="H95" s="194"/>
      <c r="I95" s="194"/>
      <c r="J95" s="194"/>
      <c r="K95" s="194"/>
      <c r="L95" s="194"/>
      <c r="M95" s="194"/>
      <c r="N95" s="194"/>
      <c r="O95" s="194"/>
      <c r="P95" s="194"/>
      <c r="Q95" s="194"/>
      <c r="R95" s="194"/>
      <c r="S95" s="194"/>
      <c r="T95" s="194"/>
      <c r="U95" s="194"/>
      <c r="V95" s="194"/>
      <c r="W95" s="194"/>
    </row>
    <row r="96" spans="1:23" x14ac:dyDescent="0.25">
      <c r="A96" s="1" t="s">
        <v>372</v>
      </c>
      <c r="B96" s="32">
        <f>B46</f>
        <v>14776.199999999999</v>
      </c>
      <c r="C96" s="32">
        <f t="shared" ref="C96:W96" si="48">C46</f>
        <v>18231.600000000002</v>
      </c>
      <c r="D96" s="32">
        <f t="shared" si="48"/>
        <v>17038.599999999999</v>
      </c>
      <c r="E96" s="32">
        <f t="shared" si="48"/>
        <v>13673.2</v>
      </c>
      <c r="F96" s="32">
        <f t="shared" si="48"/>
        <v>10821.800000000001</v>
      </c>
      <c r="G96" s="32">
        <f t="shared" si="48"/>
        <v>9284.8000000000011</v>
      </c>
      <c r="H96" s="32">
        <f t="shared" si="48"/>
        <v>7957.0999999999995</v>
      </c>
      <c r="I96" s="32">
        <f t="shared" si="48"/>
        <v>7289.4</v>
      </c>
      <c r="J96" s="32">
        <f t="shared" si="48"/>
        <v>6928.6</v>
      </c>
      <c r="K96" s="32">
        <f t="shared" si="48"/>
        <v>6189.5</v>
      </c>
      <c r="L96" s="32">
        <f t="shared" si="48"/>
        <v>6007</v>
      </c>
      <c r="M96" s="32">
        <f t="shared" si="48"/>
        <v>5806.7</v>
      </c>
      <c r="N96" s="32">
        <f t="shared" si="48"/>
        <v>6048.9</v>
      </c>
      <c r="O96" s="32">
        <f t="shared" si="48"/>
        <v>5748.5999999999995</v>
      </c>
      <c r="P96" s="32">
        <f t="shared" si="48"/>
        <v>4215.3000000000011</v>
      </c>
      <c r="Q96" s="32">
        <f t="shared" si="48"/>
        <v>4935.5</v>
      </c>
      <c r="R96" s="32">
        <f t="shared" si="48"/>
        <v>6846.5999999999995</v>
      </c>
      <c r="S96" s="32">
        <f t="shared" si="48"/>
        <v>6107.5</v>
      </c>
      <c r="T96" s="32">
        <f t="shared" si="48"/>
        <v>5155.4000000000005</v>
      </c>
      <c r="U96" s="32">
        <f t="shared" si="48"/>
        <v>5030.6000000000004</v>
      </c>
      <c r="V96" s="32">
        <f t="shared" si="48"/>
        <v>3768</v>
      </c>
      <c r="W96" s="32">
        <f t="shared" si="48"/>
        <v>3250.7000000000003</v>
      </c>
    </row>
    <row r="97" spans="1:23" x14ac:dyDescent="0.25">
      <c r="A97" s="1" t="s">
        <v>373</v>
      </c>
      <c r="B97" s="32">
        <f>B36</f>
        <v>6387.4</v>
      </c>
      <c r="C97" s="32">
        <f t="shared" ref="C97:W97" si="49">C36</f>
        <v>4898.8</v>
      </c>
      <c r="D97" s="32">
        <f t="shared" si="49"/>
        <v>5396.1</v>
      </c>
      <c r="E97" s="32">
        <f t="shared" si="49"/>
        <v>4407.1000000000004</v>
      </c>
      <c r="F97" s="32">
        <f t="shared" si="49"/>
        <v>4404.8999999999996</v>
      </c>
      <c r="G97" s="32">
        <f t="shared" si="49"/>
        <v>3306.3</v>
      </c>
      <c r="H97" s="32">
        <f t="shared" si="49"/>
        <v>3148.2</v>
      </c>
      <c r="I97" s="32">
        <f t="shared" si="49"/>
        <v>2707.9</v>
      </c>
      <c r="J97" s="32">
        <f t="shared" si="49"/>
        <v>2164.6999999999998</v>
      </c>
      <c r="K97" s="32">
        <f t="shared" si="49"/>
        <v>1860.9</v>
      </c>
      <c r="L97" s="32">
        <f t="shared" si="49"/>
        <v>2063.1</v>
      </c>
      <c r="M97" s="32">
        <f t="shared" si="49"/>
        <v>2442.1</v>
      </c>
      <c r="N97" s="32">
        <f t="shared" si="49"/>
        <v>1958.2</v>
      </c>
      <c r="O97" s="32">
        <f t="shared" si="49"/>
        <v>2177.1999999999998</v>
      </c>
      <c r="P97" s="32">
        <f t="shared" si="49"/>
        <v>2175.5</v>
      </c>
      <c r="Q97" s="32">
        <f t="shared" si="49"/>
        <v>2173.9</v>
      </c>
      <c r="R97" s="32">
        <f t="shared" si="49"/>
        <v>1185.5</v>
      </c>
      <c r="S97" s="32">
        <f t="shared" si="49"/>
        <v>1284.9000000000001</v>
      </c>
      <c r="T97" s="32">
        <f t="shared" si="49"/>
        <v>1284.3</v>
      </c>
      <c r="U97" s="32">
        <f t="shared" si="49"/>
        <v>1489.8</v>
      </c>
      <c r="V97" s="32">
        <f t="shared" si="49"/>
        <v>1489</v>
      </c>
      <c r="W97" s="32">
        <f t="shared" si="49"/>
        <v>1095.7</v>
      </c>
    </row>
    <row r="98" spans="1:23" x14ac:dyDescent="0.25">
      <c r="A98" s="1" t="s">
        <v>201</v>
      </c>
      <c r="B98" s="32">
        <f>B67</f>
        <v>29301.5</v>
      </c>
      <c r="C98" s="32">
        <f t="shared" ref="C98:W98" si="50">C67</f>
        <v>25586.699999999997</v>
      </c>
      <c r="D98" s="32">
        <f t="shared" si="50"/>
        <v>19918.500000000004</v>
      </c>
      <c r="E98" s="32">
        <f t="shared" si="50"/>
        <v>17925</v>
      </c>
      <c r="F98" s="32">
        <f t="shared" si="50"/>
        <v>15632.799999999997</v>
      </c>
      <c r="G98" s="32">
        <f t="shared" si="50"/>
        <v>13310.700000000003</v>
      </c>
      <c r="H98" s="32">
        <f t="shared" si="50"/>
        <v>11620.599999999999</v>
      </c>
      <c r="I98" s="32">
        <f t="shared" si="50"/>
        <v>10420.9</v>
      </c>
      <c r="J98" s="32">
        <f t="shared" si="50"/>
        <v>8985.6</v>
      </c>
      <c r="K98" s="32">
        <f t="shared" si="50"/>
        <v>8730.7999999999993</v>
      </c>
      <c r="L98" s="32">
        <f t="shared" si="50"/>
        <v>8183.5999999999985</v>
      </c>
      <c r="M98" s="32">
        <f t="shared" si="50"/>
        <v>7574.0000000000009</v>
      </c>
      <c r="N98" s="32">
        <f t="shared" si="50"/>
        <v>7439.5999999999995</v>
      </c>
      <c r="O98" s="32">
        <f t="shared" si="50"/>
        <v>7334.7999999999984</v>
      </c>
      <c r="P98" s="32">
        <f t="shared" si="50"/>
        <v>7179.7999999999993</v>
      </c>
      <c r="Q98" s="32">
        <f t="shared" si="50"/>
        <v>6926.7999999999975</v>
      </c>
      <c r="R98" s="32">
        <f t="shared" si="50"/>
        <v>6597.5</v>
      </c>
      <c r="S98" s="32">
        <f t="shared" si="50"/>
        <v>6540.5000000000018</v>
      </c>
      <c r="T98" s="32">
        <f t="shared" si="50"/>
        <v>6172.8</v>
      </c>
      <c r="U98" s="32">
        <f t="shared" si="50"/>
        <v>5593.0999999999995</v>
      </c>
      <c r="V98" s="32">
        <f t="shared" si="50"/>
        <v>4698.6000000000004</v>
      </c>
      <c r="W98" s="32">
        <f t="shared" si="50"/>
        <v>3861.9</v>
      </c>
    </row>
    <row r="99" spans="1:23" ht="20" thickBot="1" x14ac:dyDescent="0.3">
      <c r="A99" s="3" t="s">
        <v>62</v>
      </c>
      <c r="B99" s="50">
        <f>SUM(B96:B98)</f>
        <v>50465.1</v>
      </c>
      <c r="C99" s="50">
        <f t="shared" ref="C99:W99" si="51">SUM(C96:C98)</f>
        <v>48717.1</v>
      </c>
      <c r="D99" s="50">
        <f t="shared" si="51"/>
        <v>42353.2</v>
      </c>
      <c r="E99" s="50">
        <f t="shared" si="51"/>
        <v>36005.300000000003</v>
      </c>
      <c r="F99" s="50">
        <f t="shared" si="51"/>
        <v>30859.5</v>
      </c>
      <c r="G99" s="50">
        <f t="shared" si="51"/>
        <v>25901.800000000003</v>
      </c>
      <c r="H99" s="50">
        <f t="shared" si="51"/>
        <v>22725.899999999998</v>
      </c>
      <c r="I99" s="50">
        <f t="shared" si="51"/>
        <v>20418.199999999997</v>
      </c>
      <c r="J99" s="50">
        <f t="shared" si="51"/>
        <v>18078.900000000001</v>
      </c>
      <c r="K99" s="50">
        <f t="shared" si="51"/>
        <v>16781.199999999997</v>
      </c>
      <c r="L99" s="50">
        <f t="shared" si="51"/>
        <v>16253.699999999999</v>
      </c>
      <c r="M99" s="50">
        <f t="shared" si="51"/>
        <v>15822.8</v>
      </c>
      <c r="N99" s="50">
        <f t="shared" si="51"/>
        <v>15446.699999999999</v>
      </c>
      <c r="O99" s="50">
        <f t="shared" si="51"/>
        <v>15260.599999999999</v>
      </c>
      <c r="P99" s="50">
        <f t="shared" si="51"/>
        <v>13570.6</v>
      </c>
      <c r="Q99" s="50">
        <f t="shared" si="51"/>
        <v>14036.199999999997</v>
      </c>
      <c r="R99" s="50">
        <f t="shared" si="51"/>
        <v>14629.599999999999</v>
      </c>
      <c r="S99" s="50">
        <f t="shared" si="51"/>
        <v>13932.900000000001</v>
      </c>
      <c r="T99" s="50">
        <f t="shared" si="51"/>
        <v>12612.5</v>
      </c>
      <c r="U99" s="50">
        <f t="shared" si="51"/>
        <v>12113.5</v>
      </c>
      <c r="V99" s="50">
        <f t="shared" si="51"/>
        <v>9955.6</v>
      </c>
      <c r="W99" s="50">
        <f t="shared" si="51"/>
        <v>8208.3000000000011</v>
      </c>
    </row>
    <row r="100" spans="1:23" ht="20" thickTop="1" x14ac:dyDescent="0.25">
      <c r="A100" s="3"/>
      <c r="B100" s="194"/>
      <c r="C100" s="194"/>
      <c r="D100" s="194"/>
      <c r="E100" s="194"/>
      <c r="F100" s="194"/>
      <c r="G100" s="194"/>
      <c r="H100" s="194"/>
      <c r="I100" s="194"/>
      <c r="J100" s="194"/>
      <c r="K100" s="194"/>
      <c r="L100" s="194"/>
      <c r="M100" s="194"/>
      <c r="N100" s="194"/>
      <c r="O100" s="194"/>
      <c r="P100" s="194"/>
      <c r="Q100" s="194"/>
      <c r="R100" s="194"/>
      <c r="S100" s="194"/>
      <c r="T100" s="194"/>
      <c r="U100" s="194"/>
      <c r="V100" s="194"/>
      <c r="W100" s="194"/>
    </row>
    <row r="101" spans="1:23" x14ac:dyDescent="0.25">
      <c r="A101" s="3" t="s">
        <v>374</v>
      </c>
      <c r="B101" s="195">
        <f>B97/SUM(B96:B97)</f>
        <v>0.30181065603205504</v>
      </c>
      <c r="C101" s="195">
        <f t="shared" ref="C101:W101" si="52">C97/SUM(C96:C97)</f>
        <v>0.2117905440459309</v>
      </c>
      <c r="D101" s="195">
        <f t="shared" si="52"/>
        <v>0.24052472286235166</v>
      </c>
      <c r="E101" s="195">
        <f t="shared" si="52"/>
        <v>0.24375148642445091</v>
      </c>
      <c r="F101" s="195">
        <f t="shared" si="52"/>
        <v>0.28928789560443163</v>
      </c>
      <c r="G101" s="195">
        <f t="shared" si="52"/>
        <v>0.2625902423140154</v>
      </c>
      <c r="H101" s="195">
        <f t="shared" si="52"/>
        <v>0.28348626331571414</v>
      </c>
      <c r="I101" s="195">
        <f t="shared" si="52"/>
        <v>0.27086313304592241</v>
      </c>
      <c r="J101" s="195">
        <f t="shared" si="52"/>
        <v>0.23805439169498421</v>
      </c>
      <c r="K101" s="195">
        <f t="shared" si="52"/>
        <v>0.23115621584020671</v>
      </c>
      <c r="L101" s="195">
        <f t="shared" si="52"/>
        <v>0.25564738974733892</v>
      </c>
      <c r="M101" s="195">
        <f t="shared" si="52"/>
        <v>0.29605518378430806</v>
      </c>
      <c r="N101" s="195">
        <f t="shared" si="52"/>
        <v>0.24455795481510162</v>
      </c>
      <c r="O101" s="195">
        <f t="shared" si="52"/>
        <v>0.27469782230184964</v>
      </c>
      <c r="P101" s="195">
        <f t="shared" si="52"/>
        <v>0.34041121612317699</v>
      </c>
      <c r="Q101" s="195">
        <f t="shared" si="52"/>
        <v>0.30577826539511072</v>
      </c>
      <c r="R101" s="195">
        <f t="shared" si="52"/>
        <v>0.14759527396322258</v>
      </c>
      <c r="S101" s="195">
        <f t="shared" si="52"/>
        <v>0.17381364644770306</v>
      </c>
      <c r="T101" s="195">
        <f t="shared" si="52"/>
        <v>0.19943475627746632</v>
      </c>
      <c r="U101" s="195">
        <f t="shared" si="52"/>
        <v>0.22848291515857921</v>
      </c>
      <c r="V101" s="195">
        <f t="shared" si="52"/>
        <v>0.28324139242914209</v>
      </c>
      <c r="W101" s="195">
        <f t="shared" si="52"/>
        <v>0.25209368672924715</v>
      </c>
    </row>
    <row r="102" spans="1:23" x14ac:dyDescent="0.25">
      <c r="B102" s="14"/>
      <c r="C102" s="14"/>
      <c r="D102" s="14"/>
      <c r="E102" s="14"/>
      <c r="F102" s="14"/>
      <c r="G102" s="14"/>
      <c r="H102" s="14"/>
      <c r="I102" s="14"/>
      <c r="J102" s="14"/>
      <c r="K102" s="14"/>
      <c r="L102" s="14"/>
      <c r="M102" s="14"/>
      <c r="N102" s="14"/>
      <c r="O102" s="14"/>
      <c r="P102" s="14"/>
      <c r="Q102" s="14"/>
      <c r="R102" s="14"/>
      <c r="S102" s="14"/>
      <c r="T102" s="14"/>
      <c r="U102" s="14"/>
      <c r="V102" s="14"/>
      <c r="W102" s="14"/>
    </row>
    <row r="103" spans="1:23" x14ac:dyDescent="0.25">
      <c r="A103" s="51" t="s">
        <v>255</v>
      </c>
      <c r="B103" s="8"/>
      <c r="C103" s="8"/>
      <c r="D103" s="8"/>
      <c r="E103" s="8"/>
      <c r="F103" s="8"/>
      <c r="G103" s="8"/>
      <c r="H103" s="8"/>
      <c r="I103" s="8"/>
      <c r="J103" s="8"/>
      <c r="K103" s="8"/>
      <c r="L103" s="8"/>
      <c r="M103" s="8"/>
      <c r="N103" s="8"/>
      <c r="O103" s="8"/>
      <c r="P103" s="8"/>
      <c r="Q103" s="8"/>
      <c r="R103" s="8"/>
      <c r="S103" s="8"/>
      <c r="T103" s="8"/>
      <c r="U103" s="8"/>
      <c r="V103" s="8"/>
      <c r="W103" s="8"/>
    </row>
    <row r="104" spans="1:23" s="3" customFormat="1" x14ac:dyDescent="0.25">
      <c r="A104" s="3" t="s">
        <v>258</v>
      </c>
      <c r="B104" s="9">
        <v>26164.1</v>
      </c>
      <c r="C104" s="9">
        <v>20265.8</v>
      </c>
      <c r="D104" s="9">
        <v>18105.400000000001</v>
      </c>
      <c r="E104" s="9">
        <v>15400.8</v>
      </c>
      <c r="F104" s="9">
        <v>13086.9</v>
      </c>
      <c r="G104" s="9">
        <v>11368</v>
      </c>
      <c r="H104" s="9">
        <v>10039</v>
      </c>
      <c r="I104" s="9">
        <v>8857.4</v>
      </c>
      <c r="J104" s="9">
        <v>8479.7000000000007</v>
      </c>
      <c r="K104" s="9">
        <v>7838.4</v>
      </c>
      <c r="L104" s="9">
        <v>7245.8</v>
      </c>
      <c r="M104" s="9">
        <v>7071</v>
      </c>
      <c r="N104" s="9"/>
      <c r="O104" s="9"/>
      <c r="P104" s="9"/>
      <c r="Q104" s="9"/>
      <c r="R104" s="9"/>
      <c r="S104" s="9"/>
      <c r="T104" s="9"/>
      <c r="U104" s="9"/>
      <c r="V104" s="9"/>
      <c r="W104" s="9"/>
    </row>
    <row r="105" spans="1:23" x14ac:dyDescent="0.25">
      <c r="A105" s="1" t="s">
        <v>259</v>
      </c>
      <c r="B105" s="8">
        <v>4733.6000000000004</v>
      </c>
      <c r="C105" s="8">
        <v>3798.2</v>
      </c>
      <c r="D105" s="8">
        <v>3212.2</v>
      </c>
      <c r="E105" s="8">
        <v>2572.6999999999998</v>
      </c>
      <c r="F105" s="8">
        <v>2170.1</v>
      </c>
      <c r="G105" s="8">
        <v>1801</v>
      </c>
      <c r="H105" s="8">
        <v>1442.7</v>
      </c>
      <c r="I105" s="8">
        <v>1185.9000000000001</v>
      </c>
      <c r="J105" s="8">
        <v>1045.9000000000001</v>
      </c>
      <c r="K105" s="8">
        <v>862.1</v>
      </c>
      <c r="L105" s="8">
        <v>785.7</v>
      </c>
      <c r="M105" s="8">
        <v>704.1</v>
      </c>
      <c r="N105" s="8"/>
      <c r="O105" s="8"/>
      <c r="P105" s="8"/>
      <c r="Q105" s="8"/>
      <c r="R105" s="8"/>
      <c r="S105" s="8"/>
      <c r="T105" s="8"/>
      <c r="U105" s="8"/>
      <c r="V105" s="8"/>
      <c r="W105" s="8"/>
    </row>
    <row r="106" spans="1:23" x14ac:dyDescent="0.25">
      <c r="A106" s="1" t="s">
        <v>260</v>
      </c>
      <c r="B106" s="12">
        <f>B104-B105</f>
        <v>21430.5</v>
      </c>
      <c r="C106" s="12">
        <f t="shared" ref="C106:M106" si="53">C104-C105</f>
        <v>16467.599999999999</v>
      </c>
      <c r="D106" s="12">
        <f t="shared" si="53"/>
        <v>14893.2</v>
      </c>
      <c r="E106" s="12">
        <f t="shared" si="53"/>
        <v>12828.099999999999</v>
      </c>
      <c r="F106" s="12">
        <f t="shared" si="53"/>
        <v>10916.8</v>
      </c>
      <c r="G106" s="12">
        <f t="shared" si="53"/>
        <v>9567</v>
      </c>
      <c r="H106" s="12">
        <f t="shared" si="53"/>
        <v>8596.2999999999993</v>
      </c>
      <c r="I106" s="12">
        <f t="shared" si="53"/>
        <v>7671.5</v>
      </c>
      <c r="J106" s="12">
        <f t="shared" si="53"/>
        <v>7433.8000000000011</v>
      </c>
      <c r="K106" s="12">
        <f t="shared" si="53"/>
        <v>6976.2999999999993</v>
      </c>
      <c r="L106" s="12">
        <f t="shared" si="53"/>
        <v>6460.1</v>
      </c>
      <c r="M106" s="12">
        <f t="shared" si="53"/>
        <v>6366.9</v>
      </c>
      <c r="N106" s="34"/>
      <c r="O106" s="34"/>
      <c r="P106" s="34"/>
      <c r="Q106" s="34"/>
      <c r="R106" s="34"/>
      <c r="S106" s="34"/>
      <c r="T106" s="34"/>
      <c r="U106" s="34"/>
      <c r="V106" s="34"/>
      <c r="W106" s="34"/>
    </row>
    <row r="107" spans="1:23" x14ac:dyDescent="0.25">
      <c r="A107" s="1" t="s">
        <v>357</v>
      </c>
      <c r="B107" s="8">
        <v>0</v>
      </c>
      <c r="C107" s="8">
        <v>729.2</v>
      </c>
      <c r="D107" s="8">
        <v>0</v>
      </c>
      <c r="E107" s="8">
        <v>0</v>
      </c>
      <c r="F107" s="8">
        <v>0</v>
      </c>
      <c r="G107" s="8">
        <v>0</v>
      </c>
      <c r="H107" s="8">
        <v>-2.5</v>
      </c>
      <c r="I107" s="8">
        <v>222.4</v>
      </c>
      <c r="J107" s="8">
        <v>0</v>
      </c>
      <c r="K107" s="8">
        <v>0</v>
      </c>
      <c r="L107" s="8">
        <v>0</v>
      </c>
      <c r="M107" s="8">
        <v>0</v>
      </c>
      <c r="N107" s="34"/>
      <c r="O107" s="34"/>
      <c r="P107" s="34"/>
      <c r="Q107" s="34"/>
      <c r="R107" s="34"/>
      <c r="S107" s="34"/>
      <c r="T107" s="34"/>
      <c r="U107" s="34"/>
      <c r="V107" s="34"/>
      <c r="W107" s="34"/>
    </row>
    <row r="108" spans="1:23" x14ac:dyDescent="0.25">
      <c r="A108" s="1" t="s">
        <v>261</v>
      </c>
      <c r="B108" s="12">
        <f>SUM(B106:B107)</f>
        <v>21430.5</v>
      </c>
      <c r="C108" s="12">
        <f t="shared" ref="C108:M108" si="54">SUM(C106:C107)</f>
        <v>17196.8</v>
      </c>
      <c r="D108" s="12">
        <f t="shared" si="54"/>
        <v>14893.2</v>
      </c>
      <c r="E108" s="12">
        <f t="shared" si="54"/>
        <v>12828.099999999999</v>
      </c>
      <c r="F108" s="12">
        <f t="shared" si="54"/>
        <v>10916.8</v>
      </c>
      <c r="G108" s="12">
        <f t="shared" si="54"/>
        <v>9567</v>
      </c>
      <c r="H108" s="12">
        <f t="shared" si="54"/>
        <v>8593.7999999999993</v>
      </c>
      <c r="I108" s="12">
        <f t="shared" si="54"/>
        <v>7893.9</v>
      </c>
      <c r="J108" s="12">
        <f t="shared" si="54"/>
        <v>7433.8000000000011</v>
      </c>
      <c r="K108" s="12">
        <f t="shared" si="54"/>
        <v>6976.2999999999993</v>
      </c>
      <c r="L108" s="12">
        <f t="shared" si="54"/>
        <v>6460.1</v>
      </c>
      <c r="M108" s="12">
        <f t="shared" si="54"/>
        <v>6366.9</v>
      </c>
      <c r="N108" s="34"/>
      <c r="O108" s="34"/>
      <c r="P108" s="34"/>
      <c r="Q108" s="34"/>
      <c r="R108" s="34"/>
      <c r="S108" s="34"/>
      <c r="T108" s="34"/>
      <c r="U108" s="34"/>
      <c r="V108" s="34"/>
      <c r="W108" s="34"/>
    </row>
    <row r="109" spans="1:23" x14ac:dyDescent="0.25">
      <c r="A109" s="1" t="s">
        <v>262</v>
      </c>
      <c r="B109" s="8"/>
      <c r="C109" s="8"/>
      <c r="D109" s="8"/>
      <c r="E109" s="8"/>
      <c r="F109" s="8"/>
      <c r="G109" s="8"/>
      <c r="H109" s="8"/>
      <c r="I109" s="8"/>
      <c r="J109" s="8"/>
      <c r="K109" s="8"/>
      <c r="L109" s="8"/>
      <c r="M109" s="8"/>
      <c r="N109" s="8"/>
      <c r="O109" s="8"/>
      <c r="P109" s="8"/>
      <c r="Q109" s="8"/>
      <c r="R109" s="8"/>
      <c r="S109" s="8"/>
      <c r="T109" s="8"/>
      <c r="U109" s="8"/>
      <c r="V109" s="8"/>
      <c r="W109" s="8"/>
    </row>
    <row r="110" spans="1:23" x14ac:dyDescent="0.25">
      <c r="A110" s="1" t="s">
        <v>263</v>
      </c>
      <c r="B110" s="8">
        <v>28245.4</v>
      </c>
      <c r="C110" s="8">
        <v>33632.300000000003</v>
      </c>
      <c r="D110" s="8">
        <v>24926.5</v>
      </c>
      <c r="E110" s="8">
        <v>25238.2</v>
      </c>
      <c r="F110" s="8">
        <v>21632.5</v>
      </c>
      <c r="G110" s="8">
        <v>18782.099999999999</v>
      </c>
      <c r="H110" s="8">
        <v>16967.099999999999</v>
      </c>
      <c r="I110" s="8">
        <v>14657.1</v>
      </c>
      <c r="J110" s="8">
        <v>13330.3</v>
      </c>
      <c r="K110" s="8">
        <v>12427.3</v>
      </c>
      <c r="L110" s="8">
        <v>11926</v>
      </c>
      <c r="M110" s="8">
        <v>10876.8</v>
      </c>
      <c r="N110" s="8"/>
      <c r="O110" s="8"/>
      <c r="P110" s="8"/>
      <c r="Q110" s="8"/>
      <c r="R110" s="8"/>
      <c r="S110" s="8"/>
      <c r="T110" s="8"/>
      <c r="U110" s="8"/>
      <c r="V110" s="8"/>
      <c r="W110" s="8"/>
    </row>
    <row r="111" spans="1:23" x14ac:dyDescent="0.25">
      <c r="A111" s="156" t="s">
        <v>264</v>
      </c>
      <c r="B111" s="157">
        <v>52.8</v>
      </c>
      <c r="C111" s="157">
        <v>-4.7</v>
      </c>
      <c r="D111" s="157">
        <v>195.3</v>
      </c>
      <c r="E111" s="157">
        <v>232.3</v>
      </c>
      <c r="F111" s="157">
        <v>88.5</v>
      </c>
      <c r="G111" s="157">
        <v>25.9</v>
      </c>
      <c r="H111" s="157">
        <v>-87.5</v>
      </c>
      <c r="I111" s="157">
        <v>-315.10000000000002</v>
      </c>
      <c r="J111" s="157">
        <v>-24.1</v>
      </c>
      <c r="K111" s="157">
        <v>45.1</v>
      </c>
      <c r="L111" s="157">
        <v>22</v>
      </c>
      <c r="M111" s="157">
        <v>-242</v>
      </c>
      <c r="N111" s="8"/>
      <c r="O111" s="8"/>
      <c r="P111" s="8"/>
      <c r="Q111" s="8"/>
      <c r="R111" s="8"/>
      <c r="S111" s="8"/>
      <c r="T111" s="8"/>
      <c r="U111" s="8"/>
      <c r="V111" s="8"/>
      <c r="W111" s="8"/>
    </row>
    <row r="112" spans="1:23" x14ac:dyDescent="0.25">
      <c r="A112" s="1" t="s">
        <v>265</v>
      </c>
      <c r="B112" s="12">
        <f>SUM(B110:B111)</f>
        <v>28298.2</v>
      </c>
      <c r="C112" s="12">
        <f t="shared" ref="C112:M112" si="55">SUM(C110:C111)</f>
        <v>33627.600000000006</v>
      </c>
      <c r="D112" s="12">
        <f t="shared" si="55"/>
        <v>25121.8</v>
      </c>
      <c r="E112" s="12">
        <f t="shared" si="55"/>
        <v>25470.5</v>
      </c>
      <c r="F112" s="12">
        <f t="shared" si="55"/>
        <v>21721</v>
      </c>
      <c r="G112" s="12">
        <f t="shared" si="55"/>
        <v>18808</v>
      </c>
      <c r="H112" s="12">
        <f t="shared" si="55"/>
        <v>16879.599999999999</v>
      </c>
      <c r="I112" s="12">
        <f t="shared" si="55"/>
        <v>14342</v>
      </c>
      <c r="J112" s="12">
        <f t="shared" si="55"/>
        <v>13306.199999999999</v>
      </c>
      <c r="K112" s="12">
        <f t="shared" si="55"/>
        <v>12472.4</v>
      </c>
      <c r="L112" s="12">
        <f t="shared" si="55"/>
        <v>11948</v>
      </c>
      <c r="M112" s="12">
        <f t="shared" si="55"/>
        <v>10634.8</v>
      </c>
      <c r="N112" s="8"/>
      <c r="O112" s="8"/>
      <c r="P112" s="8"/>
      <c r="Q112" s="8"/>
      <c r="R112" s="8"/>
      <c r="S112" s="8"/>
      <c r="T112" s="8"/>
      <c r="U112" s="8"/>
      <c r="V112" s="8"/>
      <c r="W112" s="8"/>
    </row>
    <row r="113" spans="1:23" x14ac:dyDescent="0.25">
      <c r="A113" s="1" t="s">
        <v>266</v>
      </c>
      <c r="B113" s="8"/>
      <c r="C113" s="8"/>
      <c r="D113" s="8"/>
      <c r="E113" s="8"/>
      <c r="F113" s="8"/>
      <c r="G113" s="8"/>
      <c r="H113" s="8"/>
      <c r="I113" s="8"/>
      <c r="J113" s="8"/>
      <c r="K113" s="8"/>
      <c r="L113" s="8"/>
      <c r="M113" s="8"/>
      <c r="N113" s="8"/>
      <c r="O113" s="8"/>
      <c r="P113" s="8"/>
      <c r="Q113" s="8"/>
      <c r="R113" s="8"/>
      <c r="S113" s="8"/>
      <c r="T113" s="8"/>
      <c r="U113" s="8"/>
      <c r="V113" s="8"/>
      <c r="W113" s="8"/>
    </row>
    <row r="114" spans="1:23" x14ac:dyDescent="0.25">
      <c r="A114" s="1" t="s">
        <v>263</v>
      </c>
      <c r="B114" s="8">
        <v>15712.4</v>
      </c>
      <c r="C114" s="8">
        <v>20561.099999999999</v>
      </c>
      <c r="D114" s="8">
        <v>15584.4</v>
      </c>
      <c r="E114" s="8">
        <v>16105</v>
      </c>
      <c r="F114" s="8">
        <v>13792.1</v>
      </c>
      <c r="G114" s="8">
        <v>12201.5</v>
      </c>
      <c r="H114" s="8">
        <v>11149</v>
      </c>
      <c r="I114" s="8">
        <v>9577.2999999999993</v>
      </c>
      <c r="J114" s="8">
        <v>8831.5</v>
      </c>
      <c r="K114" s="8">
        <v>8095</v>
      </c>
      <c r="L114" s="8">
        <v>7895.3</v>
      </c>
      <c r="M114" s="8">
        <v>7289.3</v>
      </c>
      <c r="N114" s="8"/>
      <c r="O114" s="8"/>
      <c r="P114" s="8"/>
      <c r="Q114" s="8"/>
      <c r="R114" s="8"/>
      <c r="S114" s="8"/>
      <c r="T114" s="8"/>
      <c r="U114" s="8"/>
      <c r="V114" s="8"/>
      <c r="W114" s="8"/>
    </row>
    <row r="115" spans="1:23" x14ac:dyDescent="0.25">
      <c r="A115" s="1" t="s">
        <v>264</v>
      </c>
      <c r="B115" s="8">
        <v>9418.5</v>
      </c>
      <c r="C115" s="8">
        <v>8832.7999999999993</v>
      </c>
      <c r="D115" s="8">
        <v>7963</v>
      </c>
      <c r="E115" s="8">
        <v>7300.4</v>
      </c>
      <c r="F115" s="8">
        <v>6017.6</v>
      </c>
      <c r="G115" s="8">
        <v>5256.7</v>
      </c>
      <c r="H115" s="8">
        <v>4757.3999999999996</v>
      </c>
      <c r="I115" s="8">
        <v>4062.3</v>
      </c>
      <c r="J115" s="8">
        <v>4237</v>
      </c>
      <c r="K115" s="8">
        <v>3919.9</v>
      </c>
      <c r="L115" s="8">
        <v>3536.5</v>
      </c>
      <c r="M115" s="8">
        <v>3252.3</v>
      </c>
      <c r="N115" s="8"/>
      <c r="O115" s="8"/>
      <c r="P115" s="8"/>
      <c r="Q115" s="8"/>
      <c r="R115" s="8"/>
      <c r="S115" s="8"/>
      <c r="T115" s="8"/>
      <c r="U115" s="8"/>
      <c r="V115" s="8"/>
      <c r="W115" s="8"/>
    </row>
    <row r="116" spans="1:23" x14ac:dyDescent="0.25">
      <c r="A116" s="1" t="s">
        <v>267</v>
      </c>
      <c r="B116" s="12">
        <f>SUM(B114:B115)</f>
        <v>25130.9</v>
      </c>
      <c r="C116" s="12">
        <f t="shared" ref="C116:M116" si="56">SUM(C114:C115)</f>
        <v>29393.899999999998</v>
      </c>
      <c r="D116" s="12">
        <f t="shared" si="56"/>
        <v>23547.4</v>
      </c>
      <c r="E116" s="12">
        <f t="shared" si="56"/>
        <v>23405.4</v>
      </c>
      <c r="F116" s="12">
        <f t="shared" si="56"/>
        <v>19809.7</v>
      </c>
      <c r="G116" s="12">
        <f t="shared" si="56"/>
        <v>17458.2</v>
      </c>
      <c r="H116" s="12">
        <f t="shared" si="56"/>
        <v>15906.4</v>
      </c>
      <c r="I116" s="12">
        <f t="shared" si="56"/>
        <v>13639.599999999999</v>
      </c>
      <c r="J116" s="12">
        <f t="shared" si="56"/>
        <v>13068.5</v>
      </c>
      <c r="K116" s="12">
        <f t="shared" si="56"/>
        <v>12014.9</v>
      </c>
      <c r="L116" s="12">
        <f t="shared" si="56"/>
        <v>11431.8</v>
      </c>
      <c r="M116" s="12">
        <f t="shared" si="56"/>
        <v>10541.6</v>
      </c>
      <c r="N116" s="8"/>
      <c r="O116" s="8"/>
      <c r="P116" s="8"/>
      <c r="Q116" s="8"/>
      <c r="R116" s="8"/>
      <c r="S116" s="8"/>
      <c r="T116" s="8"/>
      <c r="U116" s="8"/>
      <c r="V116" s="8"/>
      <c r="W116" s="8"/>
    </row>
    <row r="117" spans="1:23" x14ac:dyDescent="0.25">
      <c r="A117" s="1" t="s">
        <v>268</v>
      </c>
      <c r="B117" s="12">
        <f>B108+B112-B116</f>
        <v>24597.799999999996</v>
      </c>
      <c r="C117" s="12">
        <f t="shared" ref="C117:M117" si="57">C108+C112-C116</f>
        <v>21430.500000000011</v>
      </c>
      <c r="D117" s="12">
        <f t="shared" si="57"/>
        <v>16467.599999999999</v>
      </c>
      <c r="E117" s="12">
        <f t="shared" si="57"/>
        <v>14893.199999999997</v>
      </c>
      <c r="F117" s="12">
        <f t="shared" si="57"/>
        <v>12828.099999999999</v>
      </c>
      <c r="G117" s="12">
        <f t="shared" si="57"/>
        <v>10916.8</v>
      </c>
      <c r="H117" s="12">
        <f t="shared" si="57"/>
        <v>9566.9999999999982</v>
      </c>
      <c r="I117" s="12">
        <f t="shared" si="57"/>
        <v>8596.3000000000029</v>
      </c>
      <c r="J117" s="12">
        <f t="shared" si="57"/>
        <v>7671.5</v>
      </c>
      <c r="K117" s="12">
        <f t="shared" si="57"/>
        <v>7433.7999999999975</v>
      </c>
      <c r="L117" s="12">
        <f t="shared" si="57"/>
        <v>6976.2999999999993</v>
      </c>
      <c r="M117" s="12">
        <f t="shared" si="57"/>
        <v>6460.0999999999967</v>
      </c>
      <c r="N117" s="8"/>
      <c r="O117" s="8"/>
      <c r="P117" s="8"/>
      <c r="Q117" s="8"/>
      <c r="R117" s="8"/>
      <c r="S117" s="8"/>
      <c r="T117" s="8"/>
      <c r="U117" s="8"/>
      <c r="V117" s="8"/>
      <c r="W117" s="8"/>
    </row>
    <row r="118" spans="1:23" x14ac:dyDescent="0.25">
      <c r="A118" s="1" t="s">
        <v>269</v>
      </c>
      <c r="B118" s="8">
        <v>6034</v>
      </c>
      <c r="C118" s="8">
        <v>4733.6000000000004</v>
      </c>
      <c r="D118" s="8">
        <v>3798.2</v>
      </c>
      <c r="E118" s="8">
        <v>3212.2</v>
      </c>
      <c r="F118" s="8">
        <v>2572.6999999999998</v>
      </c>
      <c r="G118" s="8">
        <v>2170.1</v>
      </c>
      <c r="H118" s="8">
        <v>1801</v>
      </c>
      <c r="I118" s="8">
        <v>1442.7</v>
      </c>
      <c r="J118" s="8">
        <v>1185.9000000000001</v>
      </c>
      <c r="K118" s="8">
        <v>1045.9000000000001</v>
      </c>
      <c r="L118" s="8">
        <v>862.1</v>
      </c>
      <c r="M118" s="8">
        <v>785.7</v>
      </c>
      <c r="N118" s="8"/>
      <c r="O118" s="8"/>
      <c r="P118" s="8"/>
      <c r="Q118" s="8"/>
      <c r="R118" s="8"/>
      <c r="S118" s="8"/>
      <c r="T118" s="8"/>
      <c r="U118" s="8"/>
      <c r="V118" s="8"/>
      <c r="W118" s="8"/>
    </row>
    <row r="119" spans="1:23" s="3" customFormat="1" ht="20" thickBot="1" x14ac:dyDescent="0.3">
      <c r="A119" s="3" t="s">
        <v>270</v>
      </c>
      <c r="B119" s="13">
        <f>SUM(B117:B118)</f>
        <v>30631.799999999996</v>
      </c>
      <c r="C119" s="13">
        <f t="shared" ref="C119:M119" si="58">SUM(C117:C118)</f>
        <v>26164.100000000013</v>
      </c>
      <c r="D119" s="13">
        <f t="shared" si="58"/>
        <v>20265.8</v>
      </c>
      <c r="E119" s="13">
        <f t="shared" si="58"/>
        <v>18105.399999999998</v>
      </c>
      <c r="F119" s="13">
        <f t="shared" si="58"/>
        <v>15400.8</v>
      </c>
      <c r="G119" s="13">
        <f t="shared" si="58"/>
        <v>13086.9</v>
      </c>
      <c r="H119" s="13">
        <f t="shared" si="58"/>
        <v>11367.999999999998</v>
      </c>
      <c r="I119" s="13">
        <f t="shared" si="58"/>
        <v>10039.000000000004</v>
      </c>
      <c r="J119" s="13">
        <f t="shared" si="58"/>
        <v>8857.4</v>
      </c>
      <c r="K119" s="13">
        <f t="shared" si="58"/>
        <v>8479.6999999999971</v>
      </c>
      <c r="L119" s="13">
        <f t="shared" si="58"/>
        <v>7838.4</v>
      </c>
      <c r="M119" s="13">
        <f t="shared" si="58"/>
        <v>7245.7999999999965</v>
      </c>
      <c r="N119" s="9"/>
      <c r="O119" s="9"/>
      <c r="P119" s="9"/>
      <c r="Q119" s="9"/>
      <c r="R119" s="9"/>
      <c r="S119" s="9"/>
      <c r="T119" s="9"/>
      <c r="U119" s="9"/>
      <c r="V119" s="9"/>
      <c r="W119" s="9"/>
    </row>
    <row r="120" spans="1:23" ht="20" thickTop="1" x14ac:dyDescent="0.25"/>
    <row r="121" spans="1:23" x14ac:dyDescent="0.25">
      <c r="B121" s="32"/>
      <c r="C121" s="32"/>
      <c r="D121" s="32"/>
      <c r="E121" s="32"/>
      <c r="F121" s="32"/>
      <c r="G121" s="32"/>
      <c r="H121" s="32"/>
      <c r="I121" s="32"/>
      <c r="J121" s="32"/>
      <c r="K121" s="32"/>
      <c r="L121" s="32"/>
      <c r="M121" s="32"/>
    </row>
    <row r="122" spans="1:23" x14ac:dyDescent="0.25">
      <c r="B122" s="155"/>
      <c r="C122" s="155"/>
      <c r="D122" s="155"/>
      <c r="E122" s="155"/>
      <c r="F122" s="155"/>
      <c r="G122" s="155"/>
      <c r="H122" s="155"/>
      <c r="I122" s="155"/>
      <c r="J122" s="155"/>
      <c r="K122" s="155"/>
      <c r="L122" s="155"/>
      <c r="M122" s="155"/>
    </row>
  </sheetData>
  <pageMargins left="0.7" right="0.7" top="0.75" bottom="0.75" header="0.3" footer="0.3"/>
  <pageSetup orientation="portrait" r:id="rId1"/>
  <ignoredErrors>
    <ignoredError sqref="B46:D46 F46:R46"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sheetPr>
  <dimension ref="A1:Y102"/>
  <sheetViews>
    <sheetView zoomScaleNormal="100" workbookViewId="0"/>
  </sheetViews>
  <sheetFormatPr baseColWidth="10" defaultColWidth="9.1640625" defaultRowHeight="19" x14ac:dyDescent="0.25"/>
  <cols>
    <col min="1" max="1" width="62.83203125" style="54" customWidth="1"/>
    <col min="2" max="2" width="12.83203125" style="54" bestFit="1" customWidth="1"/>
    <col min="3" max="3" width="10.83203125" style="54" bestFit="1" customWidth="1"/>
    <col min="4" max="24" width="10.6640625" style="54" customWidth="1"/>
    <col min="25" max="16384" width="9.1640625" style="54"/>
  </cols>
  <sheetData>
    <row r="1" spans="1:24" ht="24" x14ac:dyDescent="0.3">
      <c r="A1" s="19" t="s">
        <v>239</v>
      </c>
      <c r="B1" s="85"/>
      <c r="C1" s="85"/>
      <c r="D1" s="85"/>
      <c r="E1" s="85"/>
      <c r="F1" s="53"/>
      <c r="G1" s="53"/>
      <c r="H1" s="53"/>
      <c r="I1" s="53"/>
      <c r="J1" s="53"/>
      <c r="K1" s="53"/>
      <c r="L1" s="53"/>
      <c r="M1" s="53"/>
      <c r="N1" s="53"/>
      <c r="O1" s="53"/>
      <c r="P1" s="53"/>
    </row>
    <row r="2" spans="1:24" x14ac:dyDescent="0.25">
      <c r="A2" s="55" t="s">
        <v>237</v>
      </c>
      <c r="B2" s="55"/>
      <c r="C2" s="55"/>
      <c r="D2" s="55"/>
      <c r="E2" s="55"/>
      <c r="F2" s="55"/>
      <c r="G2" s="55"/>
      <c r="H2" s="55"/>
    </row>
    <row r="3" spans="1:24" x14ac:dyDescent="0.25">
      <c r="A3" s="196" t="s">
        <v>36</v>
      </c>
      <c r="B3" s="197" t="s">
        <v>210</v>
      </c>
      <c r="C3" s="198"/>
      <c r="D3" s="201" t="s">
        <v>209</v>
      </c>
      <c r="E3" s="251"/>
      <c r="F3" s="251"/>
      <c r="G3" s="251"/>
      <c r="H3" s="251"/>
      <c r="I3" s="251"/>
      <c r="J3" s="251"/>
      <c r="K3" s="251"/>
      <c r="L3" s="251"/>
      <c r="M3" s="251"/>
      <c r="N3" s="251"/>
      <c r="O3" s="251"/>
      <c r="P3" s="251"/>
      <c r="Q3" s="251"/>
      <c r="R3" s="251"/>
      <c r="S3" s="251"/>
      <c r="T3" s="251"/>
      <c r="U3" s="251"/>
      <c r="V3" s="251"/>
      <c r="W3" s="251"/>
      <c r="X3" s="251"/>
    </row>
    <row r="4" spans="1:24" x14ac:dyDescent="0.25">
      <c r="A4" s="196"/>
      <c r="B4" s="74">
        <v>44834</v>
      </c>
      <c r="C4" s="75">
        <v>44469</v>
      </c>
      <c r="D4" s="4">
        <v>2021</v>
      </c>
      <c r="E4" s="4">
        <v>2020</v>
      </c>
      <c r="F4" s="4">
        <v>2019</v>
      </c>
      <c r="G4" s="4">
        <v>2018</v>
      </c>
      <c r="H4" s="4">
        <v>2017</v>
      </c>
      <c r="I4" s="4">
        <v>2016</v>
      </c>
      <c r="J4" s="4">
        <v>2015</v>
      </c>
      <c r="K4" s="4">
        <v>2014</v>
      </c>
      <c r="L4" s="4">
        <v>2013</v>
      </c>
      <c r="M4" s="4">
        <v>2012</v>
      </c>
      <c r="N4" s="4">
        <v>2011</v>
      </c>
      <c r="O4" s="4">
        <v>2010</v>
      </c>
      <c r="P4" s="4">
        <v>2009</v>
      </c>
      <c r="Q4" s="4">
        <v>2008</v>
      </c>
      <c r="R4" s="4">
        <v>2007</v>
      </c>
      <c r="S4" s="4">
        <v>2006</v>
      </c>
      <c r="T4" s="4">
        <v>2005</v>
      </c>
      <c r="U4" s="4">
        <v>2004</v>
      </c>
      <c r="V4" s="4">
        <v>2003</v>
      </c>
      <c r="W4" s="4">
        <v>2002</v>
      </c>
      <c r="X4" s="4">
        <v>2001</v>
      </c>
    </row>
    <row r="5" spans="1:24" x14ac:dyDescent="0.25">
      <c r="A5" s="53" t="s">
        <v>9</v>
      </c>
      <c r="B5" s="53"/>
      <c r="C5" s="76"/>
      <c r="D5" s="53"/>
      <c r="E5" s="53"/>
      <c r="F5" s="53"/>
      <c r="G5" s="53"/>
      <c r="H5" s="53"/>
      <c r="I5" s="53"/>
      <c r="J5" s="53"/>
      <c r="K5" s="53"/>
      <c r="L5" s="53"/>
      <c r="M5" s="53"/>
      <c r="N5" s="53"/>
      <c r="O5" s="56"/>
      <c r="P5" s="56"/>
      <c r="Q5" s="56"/>
      <c r="R5" s="56"/>
      <c r="S5" s="56"/>
      <c r="T5" s="56"/>
      <c r="U5" s="56"/>
      <c r="V5" s="56"/>
      <c r="W5" s="56"/>
    </row>
    <row r="6" spans="1:24" x14ac:dyDescent="0.25">
      <c r="A6" s="54" t="s">
        <v>211</v>
      </c>
      <c r="B6" s="58">
        <v>36349.699999999997</v>
      </c>
      <c r="C6" s="77">
        <v>32767.3</v>
      </c>
      <c r="D6" s="57">
        <v>44368.7</v>
      </c>
      <c r="E6" s="57">
        <v>39261.599999999999</v>
      </c>
      <c r="F6" s="57">
        <v>36192.400000000001</v>
      </c>
      <c r="G6" s="57">
        <v>30933.3</v>
      </c>
      <c r="H6" s="57">
        <v>25729.9</v>
      </c>
      <c r="I6" s="58">
        <v>22474</v>
      </c>
      <c r="J6" s="57">
        <v>19899.099999999999</v>
      </c>
      <c r="K6" s="57">
        <v>18398.5</v>
      </c>
      <c r="L6" s="57">
        <v>17103.400000000001</v>
      </c>
      <c r="M6" s="57">
        <v>16018</v>
      </c>
      <c r="N6" s="57">
        <v>14902.8</v>
      </c>
      <c r="O6" s="57">
        <v>14314.8</v>
      </c>
      <c r="P6" s="57">
        <v>14012.8</v>
      </c>
      <c r="Q6" s="57">
        <v>13631.4</v>
      </c>
      <c r="R6" s="57">
        <v>13877.4</v>
      </c>
      <c r="S6" s="57">
        <v>14117.9</v>
      </c>
      <c r="T6" s="57">
        <v>13764.4</v>
      </c>
      <c r="U6" s="57">
        <v>13169.9</v>
      </c>
      <c r="V6" s="57">
        <v>11341</v>
      </c>
      <c r="W6" s="57">
        <v>8883.5</v>
      </c>
      <c r="X6" s="57">
        <v>7161.8</v>
      </c>
    </row>
    <row r="7" spans="1:24" x14ac:dyDescent="0.25">
      <c r="A7" s="54" t="s">
        <v>212</v>
      </c>
      <c r="B7" s="58">
        <v>868.2</v>
      </c>
      <c r="C7" s="77">
        <v>639.79999999999995</v>
      </c>
      <c r="D7" s="57">
        <v>860.9</v>
      </c>
      <c r="E7" s="57">
        <v>936.6</v>
      </c>
      <c r="F7" s="57">
        <v>1042</v>
      </c>
      <c r="G7" s="57">
        <v>820.5</v>
      </c>
      <c r="H7" s="57">
        <v>563.1</v>
      </c>
      <c r="I7" s="58">
        <v>478.9</v>
      </c>
      <c r="J7" s="57">
        <v>454.6</v>
      </c>
      <c r="K7" s="57">
        <v>408.4</v>
      </c>
      <c r="L7" s="57">
        <v>422</v>
      </c>
      <c r="M7" s="57">
        <v>443</v>
      </c>
      <c r="N7" s="57">
        <v>480</v>
      </c>
      <c r="O7" s="57">
        <v>520.1</v>
      </c>
      <c r="P7" s="57">
        <v>507</v>
      </c>
      <c r="Q7" s="57">
        <v>637.70000000000005</v>
      </c>
      <c r="R7" s="57">
        <v>680.8</v>
      </c>
      <c r="S7" s="57">
        <v>647.79999999999995</v>
      </c>
      <c r="T7" s="57">
        <v>536.70000000000005</v>
      </c>
      <c r="U7" s="57">
        <v>484.4</v>
      </c>
      <c r="V7" s="57">
        <v>465.3</v>
      </c>
      <c r="W7" s="57">
        <v>455.2</v>
      </c>
      <c r="X7" s="57">
        <v>413.6</v>
      </c>
    </row>
    <row r="8" spans="1:24" x14ac:dyDescent="0.25">
      <c r="A8" s="54" t="s">
        <v>213</v>
      </c>
      <c r="B8" s="58"/>
      <c r="C8" s="77"/>
      <c r="D8" s="57"/>
      <c r="E8" s="57"/>
      <c r="F8" s="57"/>
      <c r="G8" s="57"/>
      <c r="H8" s="57"/>
      <c r="I8" s="58"/>
      <c r="J8" s="57"/>
      <c r="K8" s="57"/>
      <c r="L8" s="57"/>
      <c r="M8" s="57"/>
      <c r="N8" s="57"/>
      <c r="O8" s="57"/>
      <c r="P8" s="57"/>
      <c r="Q8" s="57"/>
      <c r="R8" s="57"/>
      <c r="S8" s="57"/>
      <c r="T8" s="57"/>
      <c r="U8" s="57"/>
      <c r="V8" s="57"/>
      <c r="W8" s="57"/>
      <c r="X8" s="57"/>
    </row>
    <row r="9" spans="1:24" x14ac:dyDescent="0.25">
      <c r="A9" s="54" t="s">
        <v>214</v>
      </c>
      <c r="B9" s="58">
        <v>430</v>
      </c>
      <c r="C9" s="77">
        <v>607.79999999999995</v>
      </c>
      <c r="D9" s="57">
        <v>614.29999999999995</v>
      </c>
      <c r="E9" s="57">
        <v>914.7</v>
      </c>
      <c r="F9" s="57">
        <v>334.6</v>
      </c>
      <c r="G9" s="57">
        <v>170.7</v>
      </c>
      <c r="H9" s="57">
        <v>115.7</v>
      </c>
      <c r="I9" s="58">
        <v>155.80000000000001</v>
      </c>
      <c r="J9" s="57">
        <v>136.5</v>
      </c>
      <c r="K9" s="57">
        <v>232.1</v>
      </c>
      <c r="L9" s="57">
        <v>324.5</v>
      </c>
      <c r="M9" s="57">
        <v>314.8</v>
      </c>
      <c r="N9" s="57">
        <v>108.1</v>
      </c>
      <c r="O9" s="57">
        <v>110</v>
      </c>
      <c r="P9" s="57">
        <v>67.900000000000006</v>
      </c>
      <c r="Q9" s="57">
        <v>-1445.1</v>
      </c>
      <c r="R9" s="57">
        <v>106.3</v>
      </c>
      <c r="S9" s="57">
        <v>-9.6999999999999993</v>
      </c>
      <c r="T9" s="57">
        <v>-37.9</v>
      </c>
      <c r="U9" s="57">
        <v>79.3</v>
      </c>
      <c r="V9" s="57">
        <v>12.7</v>
      </c>
      <c r="W9" s="57">
        <v>-78.599999999999994</v>
      </c>
      <c r="X9" s="57">
        <v>-111.9</v>
      </c>
    </row>
    <row r="10" spans="1:24" x14ac:dyDescent="0.25">
      <c r="A10" s="54" t="s">
        <v>215</v>
      </c>
      <c r="B10" s="58">
        <v>-2262.9</v>
      </c>
      <c r="C10" s="77">
        <v>479.8</v>
      </c>
      <c r="D10" s="57">
        <v>899.9</v>
      </c>
      <c r="E10" s="57">
        <v>715.3</v>
      </c>
      <c r="F10" s="57">
        <v>757.9</v>
      </c>
      <c r="G10" s="57">
        <v>-507.9</v>
      </c>
      <c r="H10" s="57">
        <v>-1.6</v>
      </c>
      <c r="I10" s="58">
        <v>-17.899999999999999</v>
      </c>
      <c r="J10" s="57">
        <v>0</v>
      </c>
      <c r="K10" s="57">
        <v>0</v>
      </c>
      <c r="L10" s="57">
        <v>0</v>
      </c>
      <c r="M10" s="57">
        <v>0</v>
      </c>
      <c r="N10" s="57">
        <v>0</v>
      </c>
      <c r="O10" s="57">
        <v>0</v>
      </c>
      <c r="P10" s="57">
        <v>0</v>
      </c>
      <c r="Q10" s="57">
        <v>0</v>
      </c>
      <c r="R10" s="57">
        <v>0</v>
      </c>
      <c r="S10" s="57">
        <v>0</v>
      </c>
      <c r="T10" s="57">
        <v>0</v>
      </c>
      <c r="U10" s="57">
        <v>0</v>
      </c>
      <c r="V10" s="57">
        <v>0</v>
      </c>
      <c r="W10" s="57">
        <v>0</v>
      </c>
      <c r="X10" s="57">
        <v>0</v>
      </c>
    </row>
    <row r="11" spans="1:24" x14ac:dyDescent="0.25">
      <c r="A11" s="54" t="s">
        <v>216</v>
      </c>
      <c r="B11" s="58">
        <v>-6.5</v>
      </c>
      <c r="C11" s="77">
        <v>-3.7</v>
      </c>
      <c r="D11" s="57">
        <v>-5</v>
      </c>
      <c r="E11" s="57">
        <v>0</v>
      </c>
      <c r="F11" s="57">
        <v>-63.3</v>
      </c>
      <c r="G11" s="57">
        <v>-68.3</v>
      </c>
      <c r="H11" s="57">
        <v>-64.5</v>
      </c>
      <c r="I11" s="58">
        <v>-86.8</v>
      </c>
      <c r="J11" s="57">
        <v>-23.8</v>
      </c>
      <c r="K11" s="57">
        <v>-7.9</v>
      </c>
      <c r="L11" s="57">
        <v>-6.1</v>
      </c>
      <c r="M11" s="57">
        <v>-8</v>
      </c>
      <c r="N11" s="57">
        <v>-5.5</v>
      </c>
      <c r="O11" s="57">
        <v>-13.9</v>
      </c>
      <c r="P11" s="57">
        <v>-40.799999999999997</v>
      </c>
      <c r="Q11" s="57">
        <v>0</v>
      </c>
      <c r="R11" s="57">
        <v>0</v>
      </c>
      <c r="S11" s="57">
        <v>0</v>
      </c>
      <c r="T11" s="57">
        <v>0</v>
      </c>
      <c r="U11" s="57">
        <v>0</v>
      </c>
      <c r="V11" s="57">
        <v>0</v>
      </c>
      <c r="W11" s="57">
        <v>0</v>
      </c>
      <c r="X11" s="57">
        <v>0</v>
      </c>
    </row>
    <row r="12" spans="1:24" x14ac:dyDescent="0.25">
      <c r="A12" s="54" t="s">
        <v>217</v>
      </c>
      <c r="B12" s="59">
        <f>SUM(B9:B11)</f>
        <v>-1839.4</v>
      </c>
      <c r="C12" s="78">
        <f t="shared" ref="C12:X12" si="0">SUM(C9:C11)</f>
        <v>1083.8999999999999</v>
      </c>
      <c r="D12" s="59">
        <f t="shared" si="0"/>
        <v>1509.1999999999998</v>
      </c>
      <c r="E12" s="59">
        <f t="shared" si="0"/>
        <v>1630</v>
      </c>
      <c r="F12" s="59">
        <f t="shared" si="0"/>
        <v>1029.2</v>
      </c>
      <c r="G12" s="59">
        <f t="shared" si="0"/>
        <v>-405.5</v>
      </c>
      <c r="H12" s="59">
        <f t="shared" si="0"/>
        <v>49.600000000000009</v>
      </c>
      <c r="I12" s="59">
        <f t="shared" si="0"/>
        <v>51.100000000000009</v>
      </c>
      <c r="J12" s="59">
        <f t="shared" si="0"/>
        <v>112.7</v>
      </c>
      <c r="K12" s="59">
        <f t="shared" si="0"/>
        <v>224.2</v>
      </c>
      <c r="L12" s="59">
        <f t="shared" si="0"/>
        <v>318.39999999999998</v>
      </c>
      <c r="M12" s="59">
        <f t="shared" si="0"/>
        <v>306.8</v>
      </c>
      <c r="N12" s="59">
        <f t="shared" si="0"/>
        <v>102.6</v>
      </c>
      <c r="O12" s="59">
        <f t="shared" si="0"/>
        <v>96.1</v>
      </c>
      <c r="P12" s="59">
        <f t="shared" si="0"/>
        <v>27.100000000000009</v>
      </c>
      <c r="Q12" s="59">
        <f t="shared" si="0"/>
        <v>-1445.1</v>
      </c>
      <c r="R12" s="59">
        <f t="shared" si="0"/>
        <v>106.3</v>
      </c>
      <c r="S12" s="59">
        <f t="shared" si="0"/>
        <v>-9.6999999999999993</v>
      </c>
      <c r="T12" s="59">
        <f t="shared" si="0"/>
        <v>-37.9</v>
      </c>
      <c r="U12" s="59">
        <f t="shared" si="0"/>
        <v>79.3</v>
      </c>
      <c r="V12" s="59">
        <f t="shared" si="0"/>
        <v>12.7</v>
      </c>
      <c r="W12" s="59">
        <f t="shared" si="0"/>
        <v>-78.599999999999994</v>
      </c>
      <c r="X12" s="59">
        <f t="shared" si="0"/>
        <v>-111.9</v>
      </c>
    </row>
    <row r="13" spans="1:24" x14ac:dyDescent="0.25">
      <c r="A13" s="54" t="s">
        <v>218</v>
      </c>
      <c r="B13" s="58">
        <v>531.9</v>
      </c>
      <c r="C13" s="77">
        <v>516.79999999999995</v>
      </c>
      <c r="D13" s="57">
        <v>691.8</v>
      </c>
      <c r="E13" s="57">
        <v>603.5</v>
      </c>
      <c r="F13" s="57">
        <v>563.70000000000005</v>
      </c>
      <c r="G13" s="57">
        <v>472.2</v>
      </c>
      <c r="H13" s="57">
        <v>370.6</v>
      </c>
      <c r="I13" s="58">
        <v>332.5</v>
      </c>
      <c r="J13" s="57">
        <v>302</v>
      </c>
      <c r="K13" s="57">
        <v>309.10000000000002</v>
      </c>
      <c r="L13" s="57">
        <v>291.8</v>
      </c>
      <c r="M13" s="57">
        <v>281.8</v>
      </c>
      <c r="N13" s="84">
        <v>0</v>
      </c>
      <c r="O13" s="84">
        <v>0</v>
      </c>
      <c r="P13" s="84">
        <v>0</v>
      </c>
      <c r="Q13" s="84">
        <v>0</v>
      </c>
      <c r="R13" s="84"/>
      <c r="S13" s="84"/>
      <c r="T13" s="84"/>
      <c r="U13" s="84"/>
      <c r="V13" s="84"/>
      <c r="W13" s="84"/>
      <c r="X13" s="84"/>
    </row>
    <row r="14" spans="1:24" x14ac:dyDescent="0.25">
      <c r="A14" s="54" t="s">
        <v>219</v>
      </c>
      <c r="B14" s="58">
        <v>230.5</v>
      </c>
      <c r="C14" s="77">
        <v>202.1</v>
      </c>
      <c r="D14" s="57">
        <v>271.39999999999998</v>
      </c>
      <c r="E14" s="57">
        <v>226.4</v>
      </c>
      <c r="F14" s="57">
        <v>195</v>
      </c>
      <c r="G14" s="57">
        <v>158.5</v>
      </c>
      <c r="H14" s="57">
        <v>126.8</v>
      </c>
      <c r="I14" s="58">
        <v>103.3</v>
      </c>
      <c r="J14" s="57">
        <v>86.3</v>
      </c>
      <c r="K14" s="57">
        <v>56</v>
      </c>
      <c r="L14" s="57">
        <v>39.6</v>
      </c>
      <c r="M14" s="57">
        <v>36.1</v>
      </c>
      <c r="N14" s="57">
        <v>22.8</v>
      </c>
      <c r="O14" s="57">
        <v>25.9</v>
      </c>
      <c r="P14" s="57">
        <v>16.7</v>
      </c>
      <c r="Q14" s="57">
        <v>16.100000000000001</v>
      </c>
      <c r="R14" s="57">
        <v>22.3</v>
      </c>
      <c r="S14" s="57">
        <v>30.4</v>
      </c>
      <c r="T14" s="57">
        <v>40.200000000000003</v>
      </c>
      <c r="U14" s="57">
        <v>48.5</v>
      </c>
      <c r="V14" s="57">
        <v>41.8</v>
      </c>
      <c r="W14" s="57">
        <v>34.299999999999997</v>
      </c>
      <c r="X14" s="57">
        <v>24.7</v>
      </c>
    </row>
    <row r="15" spans="1:24" x14ac:dyDescent="0.25">
      <c r="A15" s="54" t="s">
        <v>220</v>
      </c>
      <c r="B15" s="58">
        <v>0</v>
      </c>
      <c r="C15" s="77">
        <v>0</v>
      </c>
      <c r="D15" s="57">
        <v>0</v>
      </c>
      <c r="E15" s="57">
        <v>0</v>
      </c>
      <c r="F15" s="57">
        <v>0</v>
      </c>
      <c r="G15" s="57">
        <v>0</v>
      </c>
      <c r="H15" s="57">
        <v>-1</v>
      </c>
      <c r="I15" s="58">
        <v>1.6</v>
      </c>
      <c r="J15" s="57">
        <v>-0.9</v>
      </c>
      <c r="K15" s="57">
        <v>-4.8</v>
      </c>
      <c r="L15" s="57">
        <v>-4.3</v>
      </c>
      <c r="M15" s="57">
        <v>-1.8</v>
      </c>
      <c r="N15" s="57">
        <v>-0.1</v>
      </c>
      <c r="O15" s="57">
        <v>6.4</v>
      </c>
      <c r="P15" s="57">
        <v>0</v>
      </c>
      <c r="Q15" s="57">
        <v>0</v>
      </c>
      <c r="R15" s="57">
        <v>0</v>
      </c>
      <c r="S15" s="57">
        <v>0</v>
      </c>
      <c r="T15" s="57">
        <v>0</v>
      </c>
      <c r="U15" s="57">
        <v>0</v>
      </c>
      <c r="V15" s="57">
        <v>31.2</v>
      </c>
      <c r="W15" s="57">
        <v>0</v>
      </c>
      <c r="X15" s="57">
        <v>0</v>
      </c>
    </row>
    <row r="16" spans="1:24" x14ac:dyDescent="0.25">
      <c r="A16" s="53" t="s">
        <v>7</v>
      </c>
      <c r="B16" s="73">
        <f t="shared" ref="B16:X16" si="1">SUM(B6:B7)+SUM(B12:B15)</f>
        <v>36140.899999999994</v>
      </c>
      <c r="C16" s="79">
        <f t="shared" si="1"/>
        <v>35209.9</v>
      </c>
      <c r="D16" s="73">
        <f t="shared" si="1"/>
        <v>47702</v>
      </c>
      <c r="E16" s="73">
        <f t="shared" si="1"/>
        <v>42658.1</v>
      </c>
      <c r="F16" s="73">
        <f t="shared" si="1"/>
        <v>39022.300000000003</v>
      </c>
      <c r="G16" s="73">
        <f t="shared" si="1"/>
        <v>31979</v>
      </c>
      <c r="H16" s="73">
        <f t="shared" si="1"/>
        <v>26839</v>
      </c>
      <c r="I16" s="73">
        <f t="shared" si="1"/>
        <v>23441.4</v>
      </c>
      <c r="J16" s="73">
        <f t="shared" si="1"/>
        <v>20853.799999999996</v>
      </c>
      <c r="K16" s="73">
        <f t="shared" si="1"/>
        <v>19391.400000000001</v>
      </c>
      <c r="L16" s="73">
        <f t="shared" si="1"/>
        <v>18170.900000000001</v>
      </c>
      <c r="M16" s="73">
        <f t="shared" si="1"/>
        <v>17083.900000000001</v>
      </c>
      <c r="N16" s="73">
        <f t="shared" si="1"/>
        <v>15508.099999999999</v>
      </c>
      <c r="O16" s="73">
        <f t="shared" si="1"/>
        <v>14963.3</v>
      </c>
      <c r="P16" s="73">
        <f t="shared" si="1"/>
        <v>14563.599999999999</v>
      </c>
      <c r="Q16" s="73">
        <f t="shared" si="1"/>
        <v>12840.1</v>
      </c>
      <c r="R16" s="73">
        <f t="shared" si="1"/>
        <v>14686.8</v>
      </c>
      <c r="S16" s="73">
        <f t="shared" si="1"/>
        <v>14786.4</v>
      </c>
      <c r="T16" s="73">
        <f t="shared" si="1"/>
        <v>14303.4</v>
      </c>
      <c r="U16" s="73">
        <f t="shared" si="1"/>
        <v>13782.099999999999</v>
      </c>
      <c r="V16" s="73">
        <f t="shared" si="1"/>
        <v>11892</v>
      </c>
      <c r="W16" s="73">
        <f t="shared" si="1"/>
        <v>9294.4000000000015</v>
      </c>
      <c r="X16" s="73">
        <f t="shared" si="1"/>
        <v>7488.2000000000007</v>
      </c>
    </row>
    <row r="17" spans="1:25" x14ac:dyDescent="0.25">
      <c r="A17" s="53" t="s">
        <v>10</v>
      </c>
      <c r="B17" s="53"/>
      <c r="C17" s="76"/>
      <c r="D17" s="53"/>
      <c r="E17" s="53"/>
      <c r="F17" s="53"/>
      <c r="G17" s="53"/>
      <c r="H17" s="53"/>
      <c r="I17" s="53"/>
      <c r="J17" s="60"/>
      <c r="K17" s="60"/>
      <c r="L17" s="60"/>
      <c r="M17" s="60"/>
      <c r="N17" s="60"/>
      <c r="O17" s="57"/>
      <c r="P17" s="57"/>
      <c r="Q17" s="57"/>
      <c r="R17" s="57"/>
      <c r="S17" s="57"/>
      <c r="T17" s="57"/>
      <c r="U17" s="57"/>
      <c r="V17" s="57"/>
      <c r="W17" s="57"/>
      <c r="X17" s="57"/>
    </row>
    <row r="18" spans="1:25" x14ac:dyDescent="0.25">
      <c r="A18" s="54" t="s">
        <v>221</v>
      </c>
      <c r="B18" s="58">
        <v>28298.2</v>
      </c>
      <c r="C18" s="77">
        <v>24767.599999999999</v>
      </c>
      <c r="D18" s="57">
        <v>33627.599999999999</v>
      </c>
      <c r="E18" s="57">
        <v>25121.8</v>
      </c>
      <c r="F18" s="57">
        <v>25470.5</v>
      </c>
      <c r="G18" s="57">
        <v>21721</v>
      </c>
      <c r="H18" s="57">
        <v>18808</v>
      </c>
      <c r="I18" s="58">
        <v>16879.599999999999</v>
      </c>
      <c r="J18" s="57">
        <v>14342</v>
      </c>
      <c r="K18" s="57">
        <v>13306.2</v>
      </c>
      <c r="L18" s="57">
        <v>12472.4</v>
      </c>
      <c r="M18" s="57">
        <v>11948</v>
      </c>
      <c r="N18" s="57">
        <v>10634.8</v>
      </c>
      <c r="O18" s="57">
        <v>10131.299999999999</v>
      </c>
      <c r="P18" s="57">
        <v>9904.9</v>
      </c>
      <c r="Q18" s="57">
        <v>10015</v>
      </c>
      <c r="R18" s="57">
        <v>9926.2000000000007</v>
      </c>
      <c r="S18" s="57">
        <v>9394.9</v>
      </c>
      <c r="T18" s="57">
        <v>9364.7999999999993</v>
      </c>
      <c r="U18" s="57">
        <v>8555</v>
      </c>
      <c r="V18" s="57">
        <v>7640.4</v>
      </c>
      <c r="W18" s="57">
        <v>6299.1</v>
      </c>
      <c r="X18" s="57">
        <v>5264.1</v>
      </c>
    </row>
    <row r="19" spans="1:25" x14ac:dyDescent="0.25">
      <c r="A19" s="54" t="s">
        <v>222</v>
      </c>
      <c r="B19" s="58">
        <v>2867.9</v>
      </c>
      <c r="C19" s="77">
        <v>2754.7</v>
      </c>
      <c r="D19" s="57">
        <v>3712.8</v>
      </c>
      <c r="E19" s="57">
        <v>3273.2</v>
      </c>
      <c r="F19" s="57">
        <v>3023.2</v>
      </c>
      <c r="G19" s="57">
        <v>2573.6999999999998</v>
      </c>
      <c r="H19" s="57">
        <v>2124.9</v>
      </c>
      <c r="I19" s="58">
        <v>1863.8</v>
      </c>
      <c r="J19" s="57">
        <v>1651.8</v>
      </c>
      <c r="K19" s="57">
        <v>1524</v>
      </c>
      <c r="L19" s="57">
        <v>1451.8</v>
      </c>
      <c r="M19" s="57">
        <v>1436.6</v>
      </c>
      <c r="N19" s="57">
        <v>1399.2</v>
      </c>
      <c r="O19" s="57">
        <v>1359.9</v>
      </c>
      <c r="P19" s="57">
        <v>1364.6</v>
      </c>
      <c r="Q19" s="57">
        <v>1358.1</v>
      </c>
      <c r="R19" s="57">
        <v>1399.9</v>
      </c>
      <c r="S19" s="57">
        <v>1441.9</v>
      </c>
      <c r="T19" s="57">
        <v>1448.2</v>
      </c>
      <c r="U19" s="57">
        <v>1418</v>
      </c>
      <c r="V19" s="57">
        <v>1249.0999999999999</v>
      </c>
      <c r="W19" s="57">
        <v>1031.5999999999999</v>
      </c>
      <c r="X19" s="57">
        <v>864.9</v>
      </c>
    </row>
    <row r="20" spans="1:25" x14ac:dyDescent="0.25">
      <c r="A20" s="54" t="s">
        <v>223</v>
      </c>
      <c r="B20" s="58">
        <v>4433.8999999999996</v>
      </c>
      <c r="C20" s="77">
        <v>4306</v>
      </c>
      <c r="D20" s="57">
        <v>5654.7</v>
      </c>
      <c r="E20" s="57">
        <v>5570</v>
      </c>
      <c r="F20" s="57">
        <v>4975.1000000000004</v>
      </c>
      <c r="G20" s="57">
        <v>4195.8</v>
      </c>
      <c r="H20" s="57">
        <v>3480.7</v>
      </c>
      <c r="I20" s="58">
        <v>2972</v>
      </c>
      <c r="J20" s="57">
        <v>2712.1</v>
      </c>
      <c r="K20" s="57">
        <v>2467.1</v>
      </c>
      <c r="L20" s="57">
        <v>2350.9</v>
      </c>
      <c r="M20" s="57">
        <v>2206.3000000000002</v>
      </c>
      <c r="N20" s="57">
        <v>1821.5</v>
      </c>
      <c r="O20" s="57">
        <v>1740.1</v>
      </c>
      <c r="P20" s="57">
        <v>1567.7</v>
      </c>
      <c r="Q20" s="57">
        <v>1523.4</v>
      </c>
      <c r="R20" s="57">
        <v>1526.2</v>
      </c>
      <c r="S20" s="57">
        <v>1402.8</v>
      </c>
      <c r="T20" s="57">
        <v>1312.2</v>
      </c>
      <c r="U20" s="57">
        <v>1238.5999999999999</v>
      </c>
      <c r="V20" s="57">
        <v>1010.1</v>
      </c>
      <c r="W20" s="57">
        <v>874.2</v>
      </c>
      <c r="X20" s="57">
        <v>686.9</v>
      </c>
    </row>
    <row r="21" spans="1:25" x14ac:dyDescent="0.25">
      <c r="A21" s="54" t="s">
        <v>224</v>
      </c>
      <c r="B21" s="58">
        <v>0</v>
      </c>
      <c r="C21" s="77">
        <v>0</v>
      </c>
      <c r="D21" s="57">
        <v>0</v>
      </c>
      <c r="E21" s="57">
        <v>1077.4000000000001</v>
      </c>
      <c r="F21" s="57">
        <v>0</v>
      </c>
      <c r="G21" s="57">
        <v>0</v>
      </c>
      <c r="H21" s="57">
        <v>0</v>
      </c>
      <c r="I21" s="58">
        <v>0</v>
      </c>
      <c r="J21" s="57">
        <v>0</v>
      </c>
      <c r="K21" s="57">
        <v>0</v>
      </c>
      <c r="L21" s="57">
        <v>0</v>
      </c>
      <c r="M21" s="57">
        <v>0</v>
      </c>
      <c r="N21" s="57">
        <v>0</v>
      </c>
      <c r="O21" s="57">
        <v>0</v>
      </c>
      <c r="P21" s="57">
        <v>0</v>
      </c>
      <c r="Q21" s="57">
        <v>0</v>
      </c>
      <c r="R21" s="57">
        <v>0</v>
      </c>
      <c r="S21" s="57">
        <v>0</v>
      </c>
      <c r="T21" s="57">
        <v>0</v>
      </c>
      <c r="U21" s="57">
        <v>0</v>
      </c>
      <c r="V21" s="57">
        <v>0</v>
      </c>
      <c r="W21" s="57">
        <v>0</v>
      </c>
      <c r="X21" s="57">
        <v>0</v>
      </c>
    </row>
    <row r="22" spans="1:25" x14ac:dyDescent="0.25">
      <c r="A22" s="54" t="s">
        <v>225</v>
      </c>
      <c r="B22" s="58">
        <v>17.399999999999999</v>
      </c>
      <c r="C22" s="77">
        <v>18.5</v>
      </c>
      <c r="D22" s="57">
        <v>25.5</v>
      </c>
      <c r="E22" s="57">
        <v>20</v>
      </c>
      <c r="F22" s="57">
        <v>24.6</v>
      </c>
      <c r="G22" s="57">
        <v>24.3</v>
      </c>
      <c r="H22" s="57">
        <v>23.9</v>
      </c>
      <c r="I22" s="58">
        <v>22.4</v>
      </c>
      <c r="J22" s="57">
        <v>22.8</v>
      </c>
      <c r="K22" s="57">
        <v>18.899999999999999</v>
      </c>
      <c r="L22" s="57">
        <v>18.8</v>
      </c>
      <c r="M22" s="57">
        <v>15.4</v>
      </c>
      <c r="N22" s="57">
        <v>13.5</v>
      </c>
      <c r="O22" s="57">
        <v>11.9</v>
      </c>
      <c r="P22" s="57">
        <v>11.1</v>
      </c>
      <c r="Q22" s="57">
        <v>8.8000000000000007</v>
      </c>
      <c r="R22" s="57">
        <v>12.4</v>
      </c>
      <c r="S22" s="57">
        <v>11.9</v>
      </c>
      <c r="T22" s="57">
        <v>12.1</v>
      </c>
      <c r="U22" s="57">
        <v>13.9</v>
      </c>
      <c r="V22" s="57">
        <v>11.5</v>
      </c>
      <c r="W22" s="57">
        <v>11.5</v>
      </c>
      <c r="X22" s="57">
        <v>12.7</v>
      </c>
      <c r="Y22" s="61"/>
    </row>
    <row r="23" spans="1:25" x14ac:dyDescent="0.25">
      <c r="A23" s="54" t="s">
        <v>226</v>
      </c>
      <c r="B23" s="58">
        <v>221.5</v>
      </c>
      <c r="C23" s="77">
        <v>190</v>
      </c>
      <c r="D23" s="57">
        <v>252.8</v>
      </c>
      <c r="E23" s="57">
        <v>205.5</v>
      </c>
      <c r="F23" s="57">
        <v>178.9</v>
      </c>
      <c r="G23" s="57">
        <v>134.1</v>
      </c>
      <c r="H23" s="57">
        <v>109.5</v>
      </c>
      <c r="I23" s="58">
        <v>92</v>
      </c>
      <c r="J23" s="57">
        <v>77.5</v>
      </c>
      <c r="K23" s="57">
        <v>50.9</v>
      </c>
      <c r="L23" s="57">
        <v>38.799999999999997</v>
      </c>
      <c r="M23" s="57">
        <v>36.1</v>
      </c>
      <c r="N23" s="57">
        <v>19.399999999999999</v>
      </c>
      <c r="O23" s="57">
        <v>21.4</v>
      </c>
      <c r="P23" s="57">
        <v>19.399999999999999</v>
      </c>
      <c r="Q23" s="57">
        <v>20.399999999999999</v>
      </c>
      <c r="R23" s="57">
        <v>20.5</v>
      </c>
      <c r="S23" s="57">
        <v>24.4</v>
      </c>
      <c r="T23" s="57">
        <v>24.6</v>
      </c>
      <c r="U23" s="57">
        <v>25</v>
      </c>
      <c r="V23" s="57">
        <v>25.7</v>
      </c>
      <c r="W23" s="57">
        <v>22</v>
      </c>
      <c r="X23" s="57">
        <v>19.8</v>
      </c>
    </row>
    <row r="24" spans="1:25" x14ac:dyDescent="0.25">
      <c r="A24" s="54" t="s">
        <v>227</v>
      </c>
      <c r="B24" s="58">
        <v>180.4</v>
      </c>
      <c r="C24" s="77">
        <v>167</v>
      </c>
      <c r="D24" s="57">
        <v>218.6</v>
      </c>
      <c r="E24" s="57">
        <v>217</v>
      </c>
      <c r="F24" s="57">
        <v>189.7</v>
      </c>
      <c r="G24" s="57">
        <v>166.5</v>
      </c>
      <c r="H24" s="57">
        <v>153.1</v>
      </c>
      <c r="I24" s="58">
        <v>140.9</v>
      </c>
      <c r="J24" s="57">
        <v>136</v>
      </c>
      <c r="K24" s="57">
        <v>116.9</v>
      </c>
      <c r="L24" s="57">
        <v>118.2</v>
      </c>
      <c r="M24" s="57">
        <v>123.8</v>
      </c>
      <c r="N24" s="57">
        <v>132.69999999999999</v>
      </c>
      <c r="O24" s="57">
        <v>133.5</v>
      </c>
      <c r="P24" s="57">
        <v>139</v>
      </c>
      <c r="Q24" s="57">
        <v>136.69999999999999</v>
      </c>
      <c r="R24" s="57">
        <v>108.6</v>
      </c>
      <c r="S24" s="57">
        <v>77.3</v>
      </c>
      <c r="T24" s="57">
        <v>82.6</v>
      </c>
      <c r="U24" s="57">
        <v>80.8</v>
      </c>
      <c r="V24" s="57">
        <v>95.5</v>
      </c>
      <c r="W24" s="57">
        <v>74.599999999999994</v>
      </c>
      <c r="X24" s="57">
        <v>52.2</v>
      </c>
    </row>
    <row r="25" spans="1:25" x14ac:dyDescent="0.25">
      <c r="A25" s="54" t="s">
        <v>256</v>
      </c>
      <c r="B25" s="58">
        <v>224.8</v>
      </c>
      <c r="C25" s="77">
        <v>0</v>
      </c>
      <c r="D25" s="57">
        <v>0</v>
      </c>
      <c r="E25" s="57">
        <v>0</v>
      </c>
      <c r="F25" s="57">
        <v>0</v>
      </c>
      <c r="G25" s="57">
        <v>0</v>
      </c>
      <c r="H25" s="57">
        <v>0</v>
      </c>
      <c r="I25" s="57">
        <v>0</v>
      </c>
      <c r="J25" s="57">
        <v>0</v>
      </c>
      <c r="K25" s="57">
        <v>0</v>
      </c>
      <c r="L25" s="57">
        <v>0</v>
      </c>
      <c r="M25" s="57">
        <v>0</v>
      </c>
      <c r="N25" s="57">
        <v>0</v>
      </c>
      <c r="O25" s="57">
        <v>0</v>
      </c>
      <c r="P25" s="57">
        <v>0</v>
      </c>
      <c r="Q25" s="57">
        <v>0</v>
      </c>
      <c r="R25" s="57">
        <v>0</v>
      </c>
      <c r="S25" s="57">
        <v>0</v>
      </c>
      <c r="T25" s="57">
        <v>0</v>
      </c>
      <c r="U25" s="57">
        <v>0</v>
      </c>
      <c r="V25" s="57">
        <v>0</v>
      </c>
      <c r="W25" s="57">
        <v>0</v>
      </c>
      <c r="X25" s="57">
        <v>0</v>
      </c>
    </row>
    <row r="26" spans="1:25" x14ac:dyDescent="0.25">
      <c r="A26" s="53" t="s">
        <v>8</v>
      </c>
      <c r="B26" s="59">
        <f>SUM(B18:B25)</f>
        <v>36244.100000000006</v>
      </c>
      <c r="C26" s="78">
        <f t="shared" ref="C26:X26" si="2">SUM(C18:C25)</f>
        <v>32203.8</v>
      </c>
      <c r="D26" s="59">
        <f t="shared" si="2"/>
        <v>43492</v>
      </c>
      <c r="E26" s="59">
        <f t="shared" si="2"/>
        <v>35484.9</v>
      </c>
      <c r="F26" s="59">
        <f t="shared" si="2"/>
        <v>33862</v>
      </c>
      <c r="G26" s="59">
        <f t="shared" si="2"/>
        <v>28815.399999999998</v>
      </c>
      <c r="H26" s="59">
        <f t="shared" si="2"/>
        <v>24700.100000000002</v>
      </c>
      <c r="I26" s="59">
        <f t="shared" si="2"/>
        <v>21970.7</v>
      </c>
      <c r="J26" s="59">
        <f t="shared" si="2"/>
        <v>18942.199999999997</v>
      </c>
      <c r="K26" s="59">
        <f t="shared" si="2"/>
        <v>17484.000000000004</v>
      </c>
      <c r="L26" s="59">
        <f t="shared" si="2"/>
        <v>16450.899999999998</v>
      </c>
      <c r="M26" s="59">
        <f t="shared" si="2"/>
        <v>15766.2</v>
      </c>
      <c r="N26" s="59">
        <f t="shared" si="2"/>
        <v>14021.1</v>
      </c>
      <c r="O26" s="59">
        <f t="shared" si="2"/>
        <v>13398.099999999999</v>
      </c>
      <c r="P26" s="59">
        <f t="shared" si="2"/>
        <v>13006.7</v>
      </c>
      <c r="Q26" s="59">
        <f t="shared" si="2"/>
        <v>13062.4</v>
      </c>
      <c r="R26" s="59">
        <f t="shared" si="2"/>
        <v>12993.800000000001</v>
      </c>
      <c r="S26" s="59">
        <f t="shared" si="2"/>
        <v>12353.199999999997</v>
      </c>
      <c r="T26" s="59">
        <f t="shared" si="2"/>
        <v>12244.500000000002</v>
      </c>
      <c r="U26" s="59">
        <f t="shared" si="2"/>
        <v>11331.3</v>
      </c>
      <c r="V26" s="59">
        <f t="shared" si="2"/>
        <v>10032.300000000001</v>
      </c>
      <c r="W26" s="59">
        <f t="shared" si="2"/>
        <v>8313.0000000000018</v>
      </c>
      <c r="X26" s="59">
        <f t="shared" si="2"/>
        <v>6900.5999999999995</v>
      </c>
    </row>
    <row r="27" spans="1:25" x14ac:dyDescent="0.25">
      <c r="A27" s="53" t="s">
        <v>38</v>
      </c>
      <c r="B27" s="63">
        <f t="shared" ref="B27:X27" si="3">B16-B26</f>
        <v>-103.20000000001164</v>
      </c>
      <c r="C27" s="80">
        <f t="shared" si="3"/>
        <v>3006.1000000000022</v>
      </c>
      <c r="D27" s="62">
        <f t="shared" si="3"/>
        <v>4210</v>
      </c>
      <c r="E27" s="62">
        <f t="shared" si="3"/>
        <v>7173.1999999999971</v>
      </c>
      <c r="F27" s="62">
        <f t="shared" si="3"/>
        <v>5160.3000000000029</v>
      </c>
      <c r="G27" s="62">
        <f t="shared" si="3"/>
        <v>3163.6000000000022</v>
      </c>
      <c r="H27" s="62">
        <f t="shared" si="3"/>
        <v>2138.8999999999978</v>
      </c>
      <c r="I27" s="63">
        <f t="shared" si="3"/>
        <v>1470.7000000000007</v>
      </c>
      <c r="J27" s="62">
        <f t="shared" si="3"/>
        <v>1911.5999999999985</v>
      </c>
      <c r="K27" s="62">
        <f t="shared" si="3"/>
        <v>1907.3999999999978</v>
      </c>
      <c r="L27" s="62">
        <f t="shared" si="3"/>
        <v>1720.0000000000036</v>
      </c>
      <c r="M27" s="62">
        <f t="shared" si="3"/>
        <v>1317.7000000000007</v>
      </c>
      <c r="N27" s="62">
        <f t="shared" si="3"/>
        <v>1486.9999999999982</v>
      </c>
      <c r="O27" s="62">
        <f t="shared" si="3"/>
        <v>1565.2000000000007</v>
      </c>
      <c r="P27" s="62">
        <f t="shared" si="3"/>
        <v>1556.8999999999978</v>
      </c>
      <c r="Q27" s="62">
        <f t="shared" si="3"/>
        <v>-222.29999999999927</v>
      </c>
      <c r="R27" s="62">
        <f t="shared" si="3"/>
        <v>1692.9999999999982</v>
      </c>
      <c r="S27" s="62">
        <f t="shared" si="3"/>
        <v>2433.2000000000025</v>
      </c>
      <c r="T27" s="62">
        <f t="shared" si="3"/>
        <v>2058.8999999999978</v>
      </c>
      <c r="U27" s="62">
        <f t="shared" si="3"/>
        <v>2450.7999999999993</v>
      </c>
      <c r="V27" s="62">
        <f t="shared" si="3"/>
        <v>1859.6999999999989</v>
      </c>
      <c r="W27" s="62">
        <f t="shared" si="3"/>
        <v>981.39999999999964</v>
      </c>
      <c r="X27" s="62">
        <f t="shared" si="3"/>
        <v>587.60000000000127</v>
      </c>
    </row>
    <row r="28" spans="1:25" x14ac:dyDescent="0.25">
      <c r="A28" s="54" t="s">
        <v>39</v>
      </c>
      <c r="B28" s="58">
        <v>1.7</v>
      </c>
      <c r="C28" s="77">
        <v>617.5</v>
      </c>
      <c r="D28" s="57">
        <v>859.1</v>
      </c>
      <c r="E28" s="57">
        <v>1468.6</v>
      </c>
      <c r="F28" s="57">
        <v>1180.3</v>
      </c>
      <c r="G28" s="57">
        <v>542.6</v>
      </c>
      <c r="H28" s="57">
        <v>540.79999999999995</v>
      </c>
      <c r="I28" s="58">
        <v>413.5</v>
      </c>
      <c r="J28" s="57">
        <v>611.1</v>
      </c>
      <c r="K28" s="57">
        <v>626.4</v>
      </c>
      <c r="L28" s="57">
        <v>554.6</v>
      </c>
      <c r="M28" s="57">
        <v>415.4</v>
      </c>
      <c r="N28" s="57">
        <v>471.5</v>
      </c>
      <c r="O28" s="57">
        <v>496.9</v>
      </c>
      <c r="P28" s="57">
        <v>499.4</v>
      </c>
      <c r="Q28" s="57">
        <v>-152.30000000000001</v>
      </c>
      <c r="R28" s="57">
        <v>510.5</v>
      </c>
      <c r="S28" s="57">
        <v>785.7</v>
      </c>
      <c r="T28" s="57">
        <v>665</v>
      </c>
      <c r="U28" s="57">
        <v>802.1</v>
      </c>
      <c r="V28" s="57">
        <v>604.29999999999995</v>
      </c>
      <c r="W28" s="57">
        <v>314.10000000000002</v>
      </c>
      <c r="X28" s="57">
        <v>176.2</v>
      </c>
    </row>
    <row r="29" spans="1:25" x14ac:dyDescent="0.25">
      <c r="A29" s="53" t="s">
        <v>232</v>
      </c>
      <c r="B29" s="59">
        <f t="shared" ref="B29" si="4">B27-B28</f>
        <v>-104.90000000001164</v>
      </c>
      <c r="C29" s="78">
        <f t="shared" ref="C29" si="5">C27-C28</f>
        <v>2388.6000000000022</v>
      </c>
      <c r="D29" s="59">
        <f t="shared" ref="D29:G29" si="6">D27-D28</f>
        <v>3350.9</v>
      </c>
      <c r="E29" s="59">
        <f t="shared" si="6"/>
        <v>5704.5999999999967</v>
      </c>
      <c r="F29" s="59">
        <f t="shared" si="6"/>
        <v>3980.0000000000027</v>
      </c>
      <c r="G29" s="59">
        <f t="shared" si="6"/>
        <v>2621.0000000000023</v>
      </c>
      <c r="H29" s="59">
        <f t="shared" ref="H29:J29" si="7">H27-H28</f>
        <v>1598.0999999999979</v>
      </c>
      <c r="I29" s="59">
        <f t="shared" si="7"/>
        <v>1057.2000000000007</v>
      </c>
      <c r="J29" s="59">
        <f t="shared" si="7"/>
        <v>1300.4999999999986</v>
      </c>
      <c r="K29" s="59">
        <f t="shared" ref="K29:L29" si="8">K27-K28</f>
        <v>1280.9999999999977</v>
      </c>
      <c r="L29" s="59">
        <f t="shared" si="8"/>
        <v>1165.4000000000037</v>
      </c>
      <c r="M29" s="59">
        <f t="shared" ref="M29:N29" si="9">M27-M28</f>
        <v>902.30000000000075</v>
      </c>
      <c r="N29" s="59">
        <f t="shared" si="9"/>
        <v>1015.4999999999982</v>
      </c>
      <c r="O29" s="59">
        <f>O27-O28</f>
        <v>1068.3000000000006</v>
      </c>
      <c r="P29" s="59">
        <f t="shared" ref="P29:W29" si="10">P27-P28</f>
        <v>1057.4999999999977</v>
      </c>
      <c r="Q29" s="59">
        <f t="shared" si="10"/>
        <v>-69.999999999999261</v>
      </c>
      <c r="R29" s="59">
        <f t="shared" si="10"/>
        <v>1182.4999999999982</v>
      </c>
      <c r="S29" s="59">
        <f t="shared" si="10"/>
        <v>1647.5000000000025</v>
      </c>
      <c r="T29" s="59">
        <f t="shared" si="10"/>
        <v>1393.8999999999978</v>
      </c>
      <c r="U29" s="59">
        <f t="shared" si="10"/>
        <v>1648.6999999999994</v>
      </c>
      <c r="V29" s="59">
        <f t="shared" si="10"/>
        <v>1255.399999999999</v>
      </c>
      <c r="W29" s="59">
        <f t="shared" si="10"/>
        <v>667.29999999999961</v>
      </c>
      <c r="X29" s="59">
        <f t="shared" ref="X29" si="11">X27-X28</f>
        <v>411.40000000000128</v>
      </c>
    </row>
    <row r="30" spans="1:25" x14ac:dyDescent="0.25">
      <c r="A30" s="54" t="s">
        <v>116</v>
      </c>
      <c r="B30" s="58">
        <v>0</v>
      </c>
      <c r="C30" s="77">
        <v>0</v>
      </c>
      <c r="D30" s="58">
        <v>0</v>
      </c>
      <c r="E30" s="58">
        <v>0</v>
      </c>
      <c r="F30" s="58">
        <v>9.6999999999999993</v>
      </c>
      <c r="G30" s="58">
        <v>5.7</v>
      </c>
      <c r="H30" s="58">
        <v>5.9</v>
      </c>
      <c r="I30" s="58">
        <v>26.2</v>
      </c>
      <c r="J30" s="58">
        <v>32.9</v>
      </c>
      <c r="K30" s="58">
        <v>0</v>
      </c>
      <c r="L30" s="58">
        <v>0</v>
      </c>
      <c r="M30" s="58">
        <v>0</v>
      </c>
      <c r="N30" s="58">
        <v>0</v>
      </c>
      <c r="O30" s="58">
        <v>0</v>
      </c>
      <c r="P30" s="58">
        <v>0</v>
      </c>
      <c r="Q30" s="58">
        <v>0</v>
      </c>
      <c r="R30" s="58">
        <v>0</v>
      </c>
      <c r="S30" s="58">
        <v>0</v>
      </c>
      <c r="T30" s="58">
        <v>0</v>
      </c>
      <c r="U30" s="58">
        <v>0</v>
      </c>
      <c r="V30" s="58">
        <v>0</v>
      </c>
      <c r="W30" s="58">
        <v>0</v>
      </c>
      <c r="X30" s="58">
        <v>0</v>
      </c>
    </row>
    <row r="31" spans="1:25" ht="20" thickBot="1" x14ac:dyDescent="0.3">
      <c r="A31" s="53" t="s">
        <v>233</v>
      </c>
      <c r="B31" s="64">
        <f t="shared" ref="B31" si="12">B29-B30</f>
        <v>-104.90000000001164</v>
      </c>
      <c r="C31" s="81">
        <f t="shared" ref="C31" si="13">C29-C30</f>
        <v>2388.6000000000022</v>
      </c>
      <c r="D31" s="64">
        <f t="shared" ref="D31:G31" si="14">D29-D30</f>
        <v>3350.9</v>
      </c>
      <c r="E31" s="64">
        <f t="shared" si="14"/>
        <v>5704.5999999999967</v>
      </c>
      <c r="F31" s="64">
        <f t="shared" si="14"/>
        <v>3970.3000000000029</v>
      </c>
      <c r="G31" s="64">
        <f t="shared" si="14"/>
        <v>2615.3000000000025</v>
      </c>
      <c r="H31" s="64">
        <f t="shared" ref="H31:I31" si="15">H29-H30</f>
        <v>1592.1999999999978</v>
      </c>
      <c r="I31" s="64">
        <f t="shared" si="15"/>
        <v>1031.0000000000007</v>
      </c>
      <c r="J31" s="64">
        <f>J29-J30</f>
        <v>1267.5999999999985</v>
      </c>
      <c r="K31" s="64">
        <f t="shared" ref="K31:X31" si="16">K29-K30</f>
        <v>1280.9999999999977</v>
      </c>
      <c r="L31" s="64">
        <f t="shared" si="16"/>
        <v>1165.4000000000037</v>
      </c>
      <c r="M31" s="64">
        <f t="shared" si="16"/>
        <v>902.30000000000075</v>
      </c>
      <c r="N31" s="64">
        <f t="shared" si="16"/>
        <v>1015.4999999999982</v>
      </c>
      <c r="O31" s="64">
        <f t="shared" si="16"/>
        <v>1068.3000000000006</v>
      </c>
      <c r="P31" s="64">
        <f t="shared" si="16"/>
        <v>1057.4999999999977</v>
      </c>
      <c r="Q31" s="64">
        <f t="shared" si="16"/>
        <v>-69.999999999999261</v>
      </c>
      <c r="R31" s="64">
        <f t="shared" si="16"/>
        <v>1182.4999999999982</v>
      </c>
      <c r="S31" s="64">
        <f t="shared" si="16"/>
        <v>1647.5000000000025</v>
      </c>
      <c r="T31" s="64">
        <f t="shared" si="16"/>
        <v>1393.8999999999978</v>
      </c>
      <c r="U31" s="64">
        <f t="shared" si="16"/>
        <v>1648.6999999999994</v>
      </c>
      <c r="V31" s="64">
        <f t="shared" si="16"/>
        <v>1255.399999999999</v>
      </c>
      <c r="W31" s="64">
        <f t="shared" si="16"/>
        <v>667.29999999999961</v>
      </c>
      <c r="X31" s="64">
        <f t="shared" si="16"/>
        <v>411.40000000000128</v>
      </c>
    </row>
    <row r="32" spans="1:25" ht="20" thickTop="1" x14ac:dyDescent="0.25">
      <c r="A32" s="53" t="s">
        <v>234</v>
      </c>
      <c r="B32" s="58"/>
      <c r="C32" s="77"/>
      <c r="D32" s="57"/>
      <c r="E32" s="57"/>
      <c r="F32" s="57"/>
      <c r="G32" s="57"/>
      <c r="H32" s="57"/>
      <c r="I32" s="58"/>
      <c r="J32" s="57"/>
      <c r="K32" s="57"/>
      <c r="L32" s="57"/>
      <c r="M32" s="57"/>
      <c r="N32" s="57"/>
      <c r="O32" s="57"/>
      <c r="P32" s="57"/>
      <c r="Q32" s="57"/>
      <c r="R32" s="57"/>
      <c r="S32" s="57"/>
      <c r="T32" s="57"/>
      <c r="U32" s="57"/>
      <c r="V32" s="57"/>
      <c r="W32" s="57"/>
      <c r="X32" s="57"/>
    </row>
    <row r="33" spans="1:24" x14ac:dyDescent="0.25">
      <c r="A33" s="54" t="s">
        <v>228</v>
      </c>
      <c r="B33" s="58"/>
      <c r="C33" s="77"/>
      <c r="D33" s="57"/>
      <c r="E33" s="57"/>
      <c r="F33" s="57"/>
      <c r="G33" s="57"/>
      <c r="H33" s="57"/>
      <c r="I33" s="58"/>
      <c r="J33" s="57"/>
      <c r="K33" s="57"/>
      <c r="L33" s="57"/>
      <c r="M33" s="57"/>
      <c r="N33" s="57"/>
      <c r="O33" s="57"/>
      <c r="P33" s="57"/>
      <c r="Q33" s="57"/>
      <c r="R33" s="57"/>
      <c r="S33" s="57"/>
      <c r="T33" s="57"/>
      <c r="U33" s="57"/>
      <c r="V33" s="57"/>
      <c r="W33" s="57"/>
      <c r="X33" s="57"/>
    </row>
    <row r="34" spans="1:24" x14ac:dyDescent="0.25">
      <c r="A34" s="54" t="s">
        <v>236</v>
      </c>
      <c r="B34" s="58">
        <v>-3170</v>
      </c>
      <c r="C34" s="77">
        <v>-578.29999999999995</v>
      </c>
      <c r="D34" s="57">
        <v>-891.1</v>
      </c>
      <c r="E34" s="57">
        <v>586.5</v>
      </c>
      <c r="F34" s="57">
        <v>466.4</v>
      </c>
      <c r="G34" s="57">
        <v>-99.3</v>
      </c>
      <c r="H34" s="57">
        <v>355.4</v>
      </c>
      <c r="I34" s="58">
        <v>130.6</v>
      </c>
      <c r="J34" s="57">
        <v>-212.9</v>
      </c>
      <c r="K34" s="57">
        <v>74.900000000000006</v>
      </c>
      <c r="L34" s="57">
        <v>84.3</v>
      </c>
      <c r="M34" s="57">
        <v>179.9</v>
      </c>
      <c r="N34" s="57">
        <v>-84.5</v>
      </c>
      <c r="O34" s="57">
        <v>337.1</v>
      </c>
      <c r="P34" s="57">
        <v>696.6</v>
      </c>
      <c r="Q34" s="57">
        <v>-541.79999999999995</v>
      </c>
      <c r="R34" s="57">
        <v>-131.80000000000001</v>
      </c>
      <c r="S34" s="57">
        <v>206.7</v>
      </c>
      <c r="T34" s="57">
        <v>-45</v>
      </c>
      <c r="U34" s="57">
        <v>16.899999999999999</v>
      </c>
      <c r="V34" s="57">
        <v>255.8</v>
      </c>
      <c r="W34" s="57">
        <v>40.9</v>
      </c>
      <c r="X34" s="57">
        <v>52</v>
      </c>
    </row>
    <row r="35" spans="1:24" x14ac:dyDescent="0.25">
      <c r="A35" s="54" t="s">
        <v>229</v>
      </c>
      <c r="B35" s="58">
        <v>0.3</v>
      </c>
      <c r="C35" s="77">
        <v>0.6</v>
      </c>
      <c r="D35" s="57">
        <v>0.7</v>
      </c>
      <c r="E35" s="57">
        <v>0.8</v>
      </c>
      <c r="F35" s="57">
        <v>0.8</v>
      </c>
      <c r="G35" s="57">
        <v>0.8</v>
      </c>
      <c r="H35" s="57">
        <v>-5.4</v>
      </c>
      <c r="I35" s="58">
        <v>-1.2</v>
      </c>
      <c r="J35" s="57">
        <v>-9.6999999999999993</v>
      </c>
      <c r="K35" s="57">
        <v>-2.6</v>
      </c>
      <c r="L35" s="57">
        <v>-2</v>
      </c>
      <c r="M35" s="57">
        <v>-1.8</v>
      </c>
      <c r="N35" s="57">
        <v>-6.8</v>
      </c>
      <c r="O35" s="57">
        <v>-6.9</v>
      </c>
      <c r="P35" s="57">
        <v>-3.3</v>
      </c>
      <c r="Q35" s="57">
        <v>-2.9</v>
      </c>
      <c r="R35" s="57">
        <v>20.3</v>
      </c>
      <c r="S35" s="57">
        <v>-1.1000000000000001</v>
      </c>
      <c r="T35" s="57">
        <v>-1.1000000000000001</v>
      </c>
      <c r="U35" s="57">
        <v>-1</v>
      </c>
      <c r="V35" s="57">
        <v>-1</v>
      </c>
      <c r="W35" s="57">
        <v>2.5</v>
      </c>
      <c r="X35" s="57">
        <v>9.1999999999999993</v>
      </c>
    </row>
    <row r="36" spans="1:24" x14ac:dyDescent="0.25">
      <c r="A36" s="54" t="s">
        <v>230</v>
      </c>
      <c r="B36" s="58">
        <v>-0.9</v>
      </c>
      <c r="C36" s="77">
        <v>-0.7</v>
      </c>
      <c r="D36" s="57">
        <v>-0.6</v>
      </c>
      <c r="E36" s="57">
        <v>0</v>
      </c>
      <c r="F36" s="57">
        <v>0</v>
      </c>
      <c r="G36" s="57">
        <v>0</v>
      </c>
      <c r="H36" s="57">
        <v>1.1000000000000001</v>
      </c>
      <c r="I36" s="58">
        <v>0.4</v>
      </c>
      <c r="J36" s="57">
        <v>-1.2</v>
      </c>
      <c r="K36" s="57">
        <v>-0.9</v>
      </c>
      <c r="L36" s="57">
        <v>-1.6</v>
      </c>
      <c r="M36" s="57">
        <v>0.4</v>
      </c>
      <c r="N36" s="57">
        <v>0.1</v>
      </c>
      <c r="O36" s="57">
        <v>0.3</v>
      </c>
      <c r="P36" s="57">
        <v>1.4</v>
      </c>
      <c r="Q36" s="57">
        <v>0</v>
      </c>
      <c r="R36" s="57">
        <v>0</v>
      </c>
      <c r="S36" s="57">
        <v>0</v>
      </c>
      <c r="T36" s="57">
        <v>0</v>
      </c>
      <c r="U36" s="57">
        <v>3.9</v>
      </c>
      <c r="V36" s="57">
        <v>0.9</v>
      </c>
      <c r="W36" s="57">
        <v>0</v>
      </c>
      <c r="X36" s="57">
        <v>0</v>
      </c>
    </row>
    <row r="37" spans="1:24" x14ac:dyDescent="0.25">
      <c r="A37" s="54" t="s">
        <v>231</v>
      </c>
      <c r="B37" s="59">
        <f>SUM(B34:B36)</f>
        <v>-3170.6</v>
      </c>
      <c r="C37" s="78">
        <f t="shared" ref="C37:X37" si="17">SUM(C34:C36)</f>
        <v>-578.4</v>
      </c>
      <c r="D37" s="59">
        <f t="shared" si="17"/>
        <v>-891</v>
      </c>
      <c r="E37" s="59">
        <f t="shared" si="17"/>
        <v>587.29999999999995</v>
      </c>
      <c r="F37" s="59">
        <f t="shared" si="17"/>
        <v>467.2</v>
      </c>
      <c r="G37" s="59">
        <f t="shared" si="17"/>
        <v>-98.5</v>
      </c>
      <c r="H37" s="59">
        <f t="shared" si="17"/>
        <v>351.1</v>
      </c>
      <c r="I37" s="59">
        <f t="shared" si="17"/>
        <v>129.80000000000001</v>
      </c>
      <c r="J37" s="59">
        <f t="shared" si="17"/>
        <v>-223.79999999999998</v>
      </c>
      <c r="K37" s="59">
        <f t="shared" si="17"/>
        <v>71.400000000000006</v>
      </c>
      <c r="L37" s="59">
        <f t="shared" si="17"/>
        <v>80.7</v>
      </c>
      <c r="M37" s="59">
        <f t="shared" si="17"/>
        <v>178.5</v>
      </c>
      <c r="N37" s="59">
        <f t="shared" si="17"/>
        <v>-91.2</v>
      </c>
      <c r="O37" s="59">
        <f t="shared" si="17"/>
        <v>330.50000000000006</v>
      </c>
      <c r="P37" s="59">
        <f t="shared" si="17"/>
        <v>694.7</v>
      </c>
      <c r="Q37" s="59">
        <f t="shared" si="17"/>
        <v>-544.69999999999993</v>
      </c>
      <c r="R37" s="59">
        <f t="shared" si="17"/>
        <v>-111.50000000000001</v>
      </c>
      <c r="S37" s="59">
        <f t="shared" si="17"/>
        <v>205.6</v>
      </c>
      <c r="T37" s="59">
        <f t="shared" si="17"/>
        <v>-46.1</v>
      </c>
      <c r="U37" s="59">
        <f t="shared" si="17"/>
        <v>19.799999999999997</v>
      </c>
      <c r="V37" s="59">
        <f t="shared" si="17"/>
        <v>255.70000000000002</v>
      </c>
      <c r="W37" s="59">
        <f t="shared" si="17"/>
        <v>43.4</v>
      </c>
      <c r="X37" s="59">
        <f t="shared" si="17"/>
        <v>61.2</v>
      </c>
    </row>
    <row r="38" spans="1:24" x14ac:dyDescent="0.25">
      <c r="A38" s="54" t="s">
        <v>235</v>
      </c>
      <c r="B38" s="58">
        <v>0</v>
      </c>
      <c r="C38" s="77">
        <v>0</v>
      </c>
      <c r="D38" s="58">
        <v>0</v>
      </c>
      <c r="E38" s="58">
        <v>0</v>
      </c>
      <c r="F38" s="58">
        <v>-4.5999999999999996</v>
      </c>
      <c r="G38" s="58">
        <v>3.3</v>
      </c>
      <c r="H38" s="58">
        <v>-2.2999999999999998</v>
      </c>
      <c r="I38" s="58">
        <v>3.2</v>
      </c>
      <c r="J38" s="58">
        <v>1.1000000000000001</v>
      </c>
      <c r="K38" s="58">
        <v>0</v>
      </c>
      <c r="L38" s="58">
        <v>0</v>
      </c>
      <c r="M38" s="58">
        <v>0</v>
      </c>
      <c r="N38" s="58">
        <v>0</v>
      </c>
      <c r="O38" s="58">
        <v>0</v>
      </c>
      <c r="P38" s="58">
        <v>0</v>
      </c>
      <c r="Q38" s="58">
        <v>0</v>
      </c>
      <c r="R38" s="58">
        <v>0</v>
      </c>
      <c r="S38" s="58">
        <v>0</v>
      </c>
      <c r="T38" s="58">
        <v>0</v>
      </c>
      <c r="U38" s="58">
        <v>0</v>
      </c>
      <c r="V38" s="58">
        <v>0</v>
      </c>
      <c r="W38" s="58">
        <v>0</v>
      </c>
      <c r="X38" s="58">
        <v>0</v>
      </c>
    </row>
    <row r="39" spans="1:24" ht="20" thickBot="1" x14ac:dyDescent="0.3">
      <c r="A39" s="53" t="s">
        <v>40</v>
      </c>
      <c r="B39" s="64">
        <f>B31+B37+B38</f>
        <v>-3275.5000000000114</v>
      </c>
      <c r="C39" s="81">
        <f t="shared" ref="C39:X39" si="18">C31+C37+C38</f>
        <v>1810.2000000000021</v>
      </c>
      <c r="D39" s="64">
        <f t="shared" si="18"/>
        <v>2459.9</v>
      </c>
      <c r="E39" s="64">
        <f t="shared" si="18"/>
        <v>6291.8999999999969</v>
      </c>
      <c r="F39" s="64">
        <f t="shared" si="18"/>
        <v>4432.9000000000024</v>
      </c>
      <c r="G39" s="64">
        <f t="shared" si="18"/>
        <v>2520.1000000000026</v>
      </c>
      <c r="H39" s="64">
        <f t="shared" si="18"/>
        <v>1940.999999999998</v>
      </c>
      <c r="I39" s="64">
        <f t="shared" si="18"/>
        <v>1164.0000000000007</v>
      </c>
      <c r="J39" s="64">
        <f t="shared" si="18"/>
        <v>1044.8999999999985</v>
      </c>
      <c r="K39" s="64">
        <f t="shared" si="18"/>
        <v>1352.3999999999978</v>
      </c>
      <c r="L39" s="64">
        <f t="shared" si="18"/>
        <v>1246.1000000000038</v>
      </c>
      <c r="M39" s="64">
        <f t="shared" si="18"/>
        <v>1080.8000000000006</v>
      </c>
      <c r="N39" s="64">
        <f t="shared" si="18"/>
        <v>924.29999999999814</v>
      </c>
      <c r="O39" s="64">
        <f t="shared" si="18"/>
        <v>1398.8000000000006</v>
      </c>
      <c r="P39" s="64">
        <f t="shared" si="18"/>
        <v>1752.1999999999978</v>
      </c>
      <c r="Q39" s="64">
        <f t="shared" si="18"/>
        <v>-614.69999999999914</v>
      </c>
      <c r="R39" s="64">
        <f t="shared" si="18"/>
        <v>1070.9999999999982</v>
      </c>
      <c r="S39" s="64">
        <f t="shared" si="18"/>
        <v>1853.1000000000024</v>
      </c>
      <c r="T39" s="64">
        <f t="shared" si="18"/>
        <v>1347.7999999999979</v>
      </c>
      <c r="U39" s="64">
        <f t="shared" si="18"/>
        <v>1668.4999999999993</v>
      </c>
      <c r="V39" s="64">
        <f t="shared" si="18"/>
        <v>1511.099999999999</v>
      </c>
      <c r="W39" s="64">
        <f t="shared" si="18"/>
        <v>710.69999999999959</v>
      </c>
      <c r="X39" s="64">
        <f t="shared" si="18"/>
        <v>472.60000000000127</v>
      </c>
    </row>
    <row r="40" spans="1:24" ht="20" thickTop="1" x14ac:dyDescent="0.25">
      <c r="B40" s="66"/>
      <c r="C40" s="82"/>
      <c r="D40" s="65"/>
      <c r="E40" s="65"/>
      <c r="F40" s="65"/>
      <c r="G40" s="65"/>
      <c r="H40" s="65"/>
      <c r="I40" s="66"/>
      <c r="J40" s="65"/>
      <c r="K40" s="65"/>
      <c r="L40" s="65"/>
      <c r="M40" s="65"/>
      <c r="N40" s="65"/>
      <c r="O40" s="65"/>
      <c r="P40" s="65"/>
      <c r="Q40" s="65"/>
      <c r="R40" s="65"/>
      <c r="S40" s="65"/>
      <c r="T40" s="65"/>
      <c r="U40" s="65"/>
      <c r="V40" s="65"/>
      <c r="W40" s="65"/>
      <c r="X40" s="65"/>
    </row>
    <row r="41" spans="1:24" x14ac:dyDescent="0.25">
      <c r="A41" s="54" t="s">
        <v>11</v>
      </c>
      <c r="B41" s="58">
        <v>587.1</v>
      </c>
      <c r="C41" s="77">
        <v>587.29999999999995</v>
      </c>
      <c r="D41" s="57">
        <v>587.1</v>
      </c>
      <c r="E41" s="57">
        <v>587.6</v>
      </c>
      <c r="F41" s="57">
        <v>587.20000000000005</v>
      </c>
      <c r="G41" s="57">
        <v>586.70000000000005</v>
      </c>
      <c r="H41" s="57">
        <v>585.70000000000005</v>
      </c>
      <c r="I41" s="58">
        <v>585</v>
      </c>
      <c r="J41" s="57">
        <v>589.20000000000005</v>
      </c>
      <c r="K41" s="57">
        <v>594.79999999999995</v>
      </c>
      <c r="L41" s="57">
        <v>603.6</v>
      </c>
      <c r="M41" s="57">
        <v>607.79999999999995</v>
      </c>
      <c r="N41" s="57">
        <v>636.9</v>
      </c>
      <c r="O41" s="57">
        <v>663.3</v>
      </c>
      <c r="P41" s="57">
        <v>672.2</v>
      </c>
      <c r="Q41" s="57">
        <v>668</v>
      </c>
      <c r="R41" s="57">
        <v>718.5</v>
      </c>
      <c r="S41" s="57">
        <v>783.8</v>
      </c>
      <c r="T41" s="57">
        <f>199.8*4</f>
        <v>799.2</v>
      </c>
      <c r="U41" s="57">
        <v>864.8</v>
      </c>
      <c r="V41" s="57">
        <v>882.1</v>
      </c>
      <c r="W41" s="57">
        <v>892.8</v>
      </c>
      <c r="X41" s="57">
        <v>900.8</v>
      </c>
    </row>
    <row r="42" spans="1:24" x14ac:dyDescent="0.25">
      <c r="A42" s="54" t="s">
        <v>13</v>
      </c>
      <c r="B42" s="68">
        <v>-0.21</v>
      </c>
      <c r="C42" s="83">
        <v>4.03</v>
      </c>
      <c r="D42" s="67">
        <v>5.66</v>
      </c>
      <c r="E42" s="67">
        <v>9.66</v>
      </c>
      <c r="F42" s="67">
        <v>6.72</v>
      </c>
      <c r="G42" s="67">
        <v>4.42</v>
      </c>
      <c r="H42" s="67">
        <v>2.72</v>
      </c>
      <c r="I42" s="67">
        <v>1.76</v>
      </c>
      <c r="J42" s="67">
        <v>2.15</v>
      </c>
      <c r="K42" s="67">
        <f t="shared" ref="K42:X42" si="19">K29/K41</f>
        <v>2.153665097511765</v>
      </c>
      <c r="L42" s="67">
        <f t="shared" si="19"/>
        <v>1.93074884029159</v>
      </c>
      <c r="M42" s="67">
        <f t="shared" si="19"/>
        <v>1.4845343863112879</v>
      </c>
      <c r="N42" s="67">
        <f t="shared" si="19"/>
        <v>1.5944418276024466</v>
      </c>
      <c r="O42" s="67">
        <f t="shared" si="19"/>
        <v>1.6105834464043429</v>
      </c>
      <c r="P42" s="67">
        <f t="shared" si="19"/>
        <v>1.5731925022314752</v>
      </c>
      <c r="Q42" s="67">
        <f t="shared" si="19"/>
        <v>-0.10479041916167554</v>
      </c>
      <c r="R42" s="67">
        <f t="shared" si="19"/>
        <v>1.645789839944326</v>
      </c>
      <c r="S42" s="67">
        <f t="shared" si="19"/>
        <v>2.1019392702219988</v>
      </c>
      <c r="T42" s="67">
        <f t="shared" si="19"/>
        <v>1.7441191191191163</v>
      </c>
      <c r="U42" s="67">
        <f t="shared" si="19"/>
        <v>1.9064523589269189</v>
      </c>
      <c r="V42" s="67">
        <f t="shared" si="19"/>
        <v>1.4231946491327501</v>
      </c>
      <c r="W42" s="67">
        <f t="shared" si="19"/>
        <v>0.74742383512544763</v>
      </c>
      <c r="X42" s="67">
        <f t="shared" si="19"/>
        <v>0.45670515097691089</v>
      </c>
    </row>
    <row r="43" spans="1:24" x14ac:dyDescent="0.25">
      <c r="A43" s="54" t="s">
        <v>12</v>
      </c>
      <c r="B43" s="68">
        <f>B39/B41</f>
        <v>-5.579117697155529</v>
      </c>
      <c r="C43" s="83">
        <f t="shared" ref="C43:X43" si="20">C39/C41</f>
        <v>3.0822407628128761</v>
      </c>
      <c r="D43" s="67">
        <f t="shared" si="20"/>
        <v>4.1899165389201158</v>
      </c>
      <c r="E43" s="67">
        <f t="shared" si="20"/>
        <v>10.707794417971403</v>
      </c>
      <c r="F43" s="67">
        <f t="shared" si="20"/>
        <v>7.5492166212534091</v>
      </c>
      <c r="G43" s="67">
        <f t="shared" si="20"/>
        <v>4.2953809442645348</v>
      </c>
      <c r="H43" s="67">
        <f t="shared" si="20"/>
        <v>3.3139832678845789</v>
      </c>
      <c r="I43" s="67">
        <f t="shared" si="20"/>
        <v>1.9897435897435909</v>
      </c>
      <c r="J43" s="67">
        <f t="shared" si="20"/>
        <v>1.773421588594702</v>
      </c>
      <c r="K43" s="67">
        <f t="shared" si="20"/>
        <v>2.2737054472091422</v>
      </c>
      <c r="L43" s="67">
        <f t="shared" si="20"/>
        <v>2.0644466534128623</v>
      </c>
      <c r="M43" s="67">
        <f t="shared" si="20"/>
        <v>1.7782165185916432</v>
      </c>
      <c r="N43" s="67">
        <f t="shared" si="20"/>
        <v>1.4512482336316503</v>
      </c>
      <c r="O43" s="67">
        <f t="shared" si="20"/>
        <v>2.1088496909392442</v>
      </c>
      <c r="P43" s="67">
        <f t="shared" si="20"/>
        <v>2.6066646831300173</v>
      </c>
      <c r="Q43" s="67">
        <f t="shared" si="20"/>
        <v>-0.92020958083832205</v>
      </c>
      <c r="R43" s="67">
        <f t="shared" si="20"/>
        <v>1.4906054279749452</v>
      </c>
      <c r="S43" s="67">
        <f t="shared" si="20"/>
        <v>2.3642510844603248</v>
      </c>
      <c r="T43" s="67">
        <f t="shared" si="20"/>
        <v>1.6864364364364337</v>
      </c>
      <c r="U43" s="67">
        <f t="shared" si="20"/>
        <v>1.9293478260869559</v>
      </c>
      <c r="V43" s="67">
        <f t="shared" si="20"/>
        <v>1.7130710803763733</v>
      </c>
      <c r="W43" s="67">
        <f t="shared" si="20"/>
        <v>0.79603494623655868</v>
      </c>
      <c r="X43" s="67">
        <f t="shared" si="20"/>
        <v>0.52464476021314532</v>
      </c>
    </row>
    <row r="44" spans="1:24" x14ac:dyDescent="0.25">
      <c r="C44" s="88"/>
      <c r="D44" s="67"/>
      <c r="E44" s="67"/>
      <c r="F44" s="67"/>
      <c r="G44" s="67"/>
      <c r="H44" s="67"/>
      <c r="I44" s="68"/>
      <c r="J44" s="67"/>
      <c r="K44" s="67"/>
      <c r="L44" s="67"/>
      <c r="M44" s="67"/>
      <c r="N44" s="67"/>
      <c r="O44" s="67"/>
      <c r="P44" s="67"/>
      <c r="Q44" s="67"/>
      <c r="R44" s="67"/>
      <c r="S44" s="67"/>
      <c r="T44" s="67"/>
      <c r="U44" s="67"/>
      <c r="V44" s="67"/>
      <c r="W44" s="67"/>
      <c r="X44" s="67"/>
    </row>
    <row r="45" spans="1:24" x14ac:dyDescent="0.25">
      <c r="A45" s="53" t="s">
        <v>17</v>
      </c>
      <c r="B45" s="53"/>
      <c r="C45" s="76"/>
      <c r="D45" s="65"/>
      <c r="E45" s="65"/>
      <c r="F45" s="65"/>
      <c r="G45" s="65"/>
      <c r="H45" s="65"/>
      <c r="I45" s="66"/>
      <c r="J45" s="65"/>
      <c r="K45" s="65"/>
      <c r="L45" s="65"/>
      <c r="M45" s="65"/>
      <c r="N45" s="65"/>
      <c r="O45" s="65"/>
      <c r="P45" s="65"/>
      <c r="Q45" s="65"/>
      <c r="R45" s="65"/>
      <c r="S45" s="65"/>
      <c r="T45" s="65"/>
      <c r="U45" s="65"/>
      <c r="V45" s="65"/>
      <c r="W45" s="65"/>
      <c r="X45" s="65"/>
    </row>
    <row r="46" spans="1:24" x14ac:dyDescent="0.25">
      <c r="A46" s="54" t="s">
        <v>14</v>
      </c>
      <c r="B46" s="69">
        <f>B18/B6</f>
        <v>0.7784988596879755</v>
      </c>
      <c r="C46" s="89">
        <f t="shared" ref="C46:M46" si="21">C18/(C6)</f>
        <v>0.75586331495118608</v>
      </c>
      <c r="D46" s="69">
        <f t="shared" si="21"/>
        <v>0.75791267267240192</v>
      </c>
      <c r="E46" s="69">
        <f t="shared" si="21"/>
        <v>0.63985675571041423</v>
      </c>
      <c r="F46" s="69">
        <f t="shared" si="21"/>
        <v>0.70375272156585356</v>
      </c>
      <c r="G46" s="69">
        <f t="shared" si="21"/>
        <v>0.70218825666838003</v>
      </c>
      <c r="H46" s="69">
        <f t="shared" si="21"/>
        <v>0.73097835592054372</v>
      </c>
      <c r="I46" s="70">
        <f t="shared" si="21"/>
        <v>0.75107235027142472</v>
      </c>
      <c r="J46" s="69">
        <f t="shared" si="21"/>
        <v>0.72073611369358415</v>
      </c>
      <c r="K46" s="69">
        <f t="shared" si="21"/>
        <v>0.7232220017936245</v>
      </c>
      <c r="L46" s="69">
        <f t="shared" si="21"/>
        <v>0.7292351228410725</v>
      </c>
      <c r="M46" s="69">
        <f t="shared" si="21"/>
        <v>0.74591085029341986</v>
      </c>
      <c r="N46" s="69">
        <f t="shared" ref="N46:X46" si="22">N18/N6</f>
        <v>0.7136108650723354</v>
      </c>
      <c r="O46" s="69">
        <f t="shared" si="22"/>
        <v>0.70775002095733086</v>
      </c>
      <c r="P46" s="69">
        <f t="shared" si="22"/>
        <v>0.70684659739666589</v>
      </c>
      <c r="Q46" s="69">
        <f t="shared" si="22"/>
        <v>0.73470076441157917</v>
      </c>
      <c r="R46" s="69">
        <f t="shared" si="22"/>
        <v>0.71527807802614329</v>
      </c>
      <c r="S46" s="69">
        <f t="shared" si="22"/>
        <v>0.66546016050545764</v>
      </c>
      <c r="T46" s="69">
        <f t="shared" si="22"/>
        <v>0.68036383714509896</v>
      </c>
      <c r="U46" s="69">
        <f t="shared" si="22"/>
        <v>0.64958731653239588</v>
      </c>
      <c r="V46" s="69">
        <f t="shared" si="22"/>
        <v>0.67369720483202533</v>
      </c>
      <c r="W46" s="69">
        <f t="shared" si="22"/>
        <v>0.70907862891878204</v>
      </c>
      <c r="X46" s="69">
        <f t="shared" si="22"/>
        <v>0.73502471445725936</v>
      </c>
    </row>
    <row r="47" spans="1:24" x14ac:dyDescent="0.25">
      <c r="A47" s="54" t="s">
        <v>15</v>
      </c>
      <c r="B47" s="69">
        <f>(B21+B20+B19-B13)/(B6)</f>
        <v>0.18624362787038132</v>
      </c>
      <c r="C47" s="89">
        <f t="shared" ref="C47" si="23">(C21+C20+C19-C13)/(C6)</f>
        <v>0.19970824572058118</v>
      </c>
      <c r="D47" s="69">
        <f t="shared" ref="D47:M47" si="24">(D21+D20+D19-D13)/(D6)</f>
        <v>0.1955364930683117</v>
      </c>
      <c r="E47" s="69">
        <f>(E21+E20+E19-E13)/(E6)</f>
        <v>0.23730820954826087</v>
      </c>
      <c r="F47" s="69">
        <f t="shared" si="24"/>
        <v>0.20541881721024305</v>
      </c>
      <c r="G47" s="69">
        <f t="shared" si="24"/>
        <v>0.20357672799216381</v>
      </c>
      <c r="H47" s="69">
        <f t="shared" si="24"/>
        <v>0.20345978802871367</v>
      </c>
      <c r="I47" s="69">
        <f t="shared" si="24"/>
        <v>0.20037821482602119</v>
      </c>
      <c r="J47" s="69">
        <f t="shared" si="24"/>
        <v>0.20412480966475871</v>
      </c>
      <c r="K47" s="69">
        <f t="shared" si="24"/>
        <v>0.2001250101910482</v>
      </c>
      <c r="L47" s="69">
        <f t="shared" si="24"/>
        <v>0.20527497456646043</v>
      </c>
      <c r="M47" s="69">
        <f t="shared" si="24"/>
        <v>0.20983268822574602</v>
      </c>
      <c r="N47" s="69">
        <f t="shared" ref="N47:X47" si="25">(N20+N19)/N6</f>
        <v>0.21611375043615966</v>
      </c>
      <c r="O47" s="69">
        <f t="shared" si="25"/>
        <v>0.21655908570151172</v>
      </c>
      <c r="P47" s="69">
        <f t="shared" si="25"/>
        <v>0.20925867778031518</v>
      </c>
      <c r="Q47" s="69">
        <f t="shared" si="25"/>
        <v>0.21138694484792464</v>
      </c>
      <c r="R47" s="69">
        <f t="shared" si="25"/>
        <v>0.21085361811290301</v>
      </c>
      <c r="S47" s="69">
        <f t="shared" si="25"/>
        <v>0.20149597319714688</v>
      </c>
      <c r="T47" s="69">
        <f t="shared" si="25"/>
        <v>0.20054633692714541</v>
      </c>
      <c r="U47" s="69">
        <f t="shared" si="25"/>
        <v>0.20171755290472973</v>
      </c>
      <c r="V47" s="69">
        <f t="shared" si="25"/>
        <v>0.19920641918702053</v>
      </c>
      <c r="W47" s="69">
        <f t="shared" si="25"/>
        <v>0.2145325603647211</v>
      </c>
      <c r="X47" s="69">
        <f t="shared" si="25"/>
        <v>0.21667737161048897</v>
      </c>
    </row>
    <row r="48" spans="1:24" x14ac:dyDescent="0.25">
      <c r="A48" s="53" t="s">
        <v>16</v>
      </c>
      <c r="B48" s="86">
        <f t="shared" ref="B48:G48" si="26">SUM(B46:B47)</f>
        <v>0.96474248755835679</v>
      </c>
      <c r="C48" s="90">
        <f t="shared" si="26"/>
        <v>0.95557156067176729</v>
      </c>
      <c r="D48" s="86">
        <f t="shared" si="26"/>
        <v>0.95344916574071359</v>
      </c>
      <c r="E48" s="86">
        <f>SUM(E46:E47)</f>
        <v>0.87716496525867504</v>
      </c>
      <c r="F48" s="86">
        <f t="shared" si="26"/>
        <v>0.90917153877609658</v>
      </c>
      <c r="G48" s="86">
        <f t="shared" si="26"/>
        <v>0.90576498466054378</v>
      </c>
      <c r="H48" s="86">
        <f t="shared" ref="H48:J48" si="27">SUM(H46:H47)</f>
        <v>0.93443814394925739</v>
      </c>
      <c r="I48" s="87">
        <f t="shared" si="27"/>
        <v>0.95145056509744586</v>
      </c>
      <c r="J48" s="86">
        <f t="shared" si="27"/>
        <v>0.92486092335834291</v>
      </c>
      <c r="K48" s="86">
        <f t="shared" ref="K48:L48" si="28">SUM(K46:K47)</f>
        <v>0.92334701198467273</v>
      </c>
      <c r="L48" s="86">
        <f t="shared" si="28"/>
        <v>0.93451009740753288</v>
      </c>
      <c r="M48" s="86">
        <f t="shared" ref="M48:N48" si="29">SUM(M46:M47)</f>
        <v>0.95574353851916594</v>
      </c>
      <c r="N48" s="86">
        <f t="shared" si="29"/>
        <v>0.92972461550849506</v>
      </c>
      <c r="O48" s="86">
        <f>SUM(O46:O47)</f>
        <v>0.92430910665884258</v>
      </c>
      <c r="P48" s="86">
        <f t="shared" ref="P48:W48" si="30">SUM(P46:P47)</f>
        <v>0.91610527517698104</v>
      </c>
      <c r="Q48" s="86">
        <f t="shared" si="30"/>
        <v>0.94608770925950381</v>
      </c>
      <c r="R48" s="86">
        <f t="shared" si="30"/>
        <v>0.92613169613904633</v>
      </c>
      <c r="S48" s="86">
        <f t="shared" si="30"/>
        <v>0.86695613370260449</v>
      </c>
      <c r="T48" s="86">
        <f t="shared" si="30"/>
        <v>0.88091017407224437</v>
      </c>
      <c r="U48" s="86">
        <f t="shared" si="30"/>
        <v>0.85130486943712558</v>
      </c>
      <c r="V48" s="86">
        <f t="shared" si="30"/>
        <v>0.87290362401904587</v>
      </c>
      <c r="W48" s="86">
        <f t="shared" si="30"/>
        <v>0.92361118928350316</v>
      </c>
      <c r="X48" s="86">
        <f t="shared" ref="X48" si="31">SUM(X46:X47)</f>
        <v>0.95170208606774831</v>
      </c>
    </row>
    <row r="49" spans="1:24" x14ac:dyDescent="0.25">
      <c r="A49" s="53"/>
      <c r="B49" s="53"/>
      <c r="C49" s="76"/>
      <c r="D49" s="71"/>
      <c r="E49" s="71"/>
      <c r="F49" s="71"/>
      <c r="G49" s="71"/>
      <c r="H49" s="71"/>
      <c r="I49" s="72"/>
      <c r="J49" s="71"/>
      <c r="K49" s="71"/>
      <c r="L49" s="71"/>
      <c r="M49" s="71"/>
      <c r="N49" s="71"/>
      <c r="O49" s="69"/>
      <c r="P49" s="69"/>
      <c r="Q49" s="69"/>
      <c r="R49" s="69"/>
      <c r="S49" s="69"/>
      <c r="T49" s="69"/>
      <c r="U49" s="69"/>
      <c r="V49" s="69"/>
      <c r="W49" s="69"/>
      <c r="X49" s="69"/>
    </row>
    <row r="50" spans="1:24" x14ac:dyDescent="0.25">
      <c r="A50" s="53" t="s">
        <v>18</v>
      </c>
      <c r="B50" s="69"/>
      <c r="C50" s="89"/>
      <c r="D50" s="69">
        <f>D31/AVERAGE('Balance Sheet (Annual)'!C46:D46)</f>
        <v>0.19001309887667212</v>
      </c>
      <c r="E50" s="69">
        <f>E31/AVERAGE('Balance Sheet (Annual)'!D46:E46)</f>
        <v>0.37149239054695571</v>
      </c>
      <c r="F50" s="69">
        <f>F31/AVERAGE('Balance Sheet (Annual)'!E46:F46)</f>
        <v>0.32417228005715476</v>
      </c>
      <c r="G50" s="69">
        <f>G31/AVERAGE('Balance Sheet (Annual)'!F46:G46)</f>
        <v>0.26014343548884467</v>
      </c>
      <c r="H50" s="69">
        <f>H31/AVERAGE('Balance Sheet (Annual)'!G46:H46)</f>
        <v>0.18468962237340406</v>
      </c>
      <c r="I50" s="69">
        <f>I31/AVERAGE('Balance Sheet (Annual)'!H46:I46)</f>
        <v>0.135244154396091</v>
      </c>
      <c r="J50" s="69">
        <f>J31/AVERAGE('Balance Sheet (Annual)'!I46:J46)</f>
        <v>0.17830918553945682</v>
      </c>
      <c r="K50" s="69">
        <f>K31/AVERAGE('Balance Sheet (Annual)'!J46:K46)</f>
        <v>0.19530267340544707</v>
      </c>
      <c r="L50" s="69">
        <f>L31/AVERAGE('Balance Sheet (Annual)'!K46:L46)</f>
        <v>0.19110400524740764</v>
      </c>
      <c r="M50" s="69">
        <f>M31/AVERAGE('Balance Sheet (Annual)'!L46:M46)</f>
        <v>0.15275485241710907</v>
      </c>
      <c r="N50" s="69">
        <f>N31/AVERAGE('Balance Sheet (Annual)'!M46:N46)</f>
        <v>0.17131144775464729</v>
      </c>
      <c r="O50" s="69">
        <f>O31/AVERAGE('Balance Sheet (Annual)'!N46:O46)</f>
        <v>0.18110616656071213</v>
      </c>
      <c r="P50" s="69">
        <f>P31/AVERAGE('Balance Sheet (Annual)'!O46:P46)</f>
        <v>0.21226628127540373</v>
      </c>
      <c r="Q50" s="69">
        <f>Q31/AVERAGE('Balance Sheet (Annual)'!P46:Q46)</f>
        <v>-1.5299208812344112E-2</v>
      </c>
      <c r="R50" s="69">
        <f>R31/AVERAGE('Balance Sheet (Annual)'!Q46:R46)</f>
        <v>0.20072822332181842</v>
      </c>
      <c r="S50" s="69">
        <f>S31/AVERAGE('Balance Sheet (Annual)'!R46:S46)</f>
        <v>0.25435962359407488</v>
      </c>
      <c r="T50" s="69">
        <f>T31/AVERAGE('Balance Sheet (Annual)'!S46:T46)</f>
        <v>0.24752062079926088</v>
      </c>
      <c r="U50" s="69">
        <f>U31/AVERAGE('Balance Sheet (Annual)'!T46:U46)</f>
        <v>0.32371882976634586</v>
      </c>
      <c r="V50" s="69">
        <f>V31/AVERAGE('Balance Sheet (Annual)'!U46:V46)</f>
        <v>0.28536358056963584</v>
      </c>
      <c r="W50" s="69">
        <f>W31/AVERAGE('Balance Sheet (Annual)'!V46:W46)</f>
        <v>0.19014917292376068</v>
      </c>
      <c r="X50" s="65"/>
    </row>
    <row r="51" spans="1:24" x14ac:dyDescent="0.25">
      <c r="A51" s="53" t="s">
        <v>19</v>
      </c>
      <c r="B51" s="69"/>
      <c r="C51" s="89"/>
      <c r="D51" s="69">
        <f>D39/AVERAGE('Balance Sheet (Annual)'!C46:D46)</f>
        <v>0.13948886028431937</v>
      </c>
      <c r="E51" s="69">
        <f>E39/AVERAGE('Balance Sheet (Annual)'!D46:E46)</f>
        <v>0.40973827649307415</v>
      </c>
      <c r="F51" s="69">
        <f>F39/AVERAGE('Balance Sheet (Annual)'!E46:F46)</f>
        <v>0.36194325372525027</v>
      </c>
      <c r="G51" s="69">
        <f>G39/AVERAGE('Balance Sheet (Annual)'!F46:G46)</f>
        <v>0.25067390806998718</v>
      </c>
      <c r="H51" s="69">
        <f>H39/AVERAGE('Balance Sheet (Annual)'!G46:H46)</f>
        <v>0.22514920049414483</v>
      </c>
      <c r="I51" s="69">
        <f>I39/AVERAGE('Balance Sheet (Annual)'!H46:I46)</f>
        <v>0.15269078149083404</v>
      </c>
      <c r="J51" s="69">
        <f>J39/AVERAGE('Balance Sheet (Annual)'!I46:J46)</f>
        <v>0.14698269798846511</v>
      </c>
      <c r="K51" s="69">
        <f>K39/AVERAGE('Balance Sheet (Annual)'!J46:K46)</f>
        <v>0.20618839618542287</v>
      </c>
      <c r="L51" s="69">
        <f>L39/AVERAGE('Balance Sheet (Annual)'!K46:L46)</f>
        <v>0.20433730988398374</v>
      </c>
      <c r="M51" s="69">
        <f>M39/AVERAGE('Balance Sheet (Annual)'!L46:M46)</f>
        <v>0.18297400475718878</v>
      </c>
      <c r="N51" s="69">
        <f>N39/AVERAGE('Balance Sheet (Annual)'!M46:N46)</f>
        <v>0.1559263133034175</v>
      </c>
      <c r="O51" s="69">
        <f>O39/AVERAGE('Balance Sheet (Annual)'!N46:O46)</f>
        <v>0.23713498622589543</v>
      </c>
      <c r="P51" s="69">
        <f>P39/AVERAGE('Balance Sheet (Annual)'!O46:P46)</f>
        <v>0.35170967191561486</v>
      </c>
      <c r="Q51" s="69">
        <f>Q39/AVERAGE('Balance Sheet (Annual)'!P46:Q46)</f>
        <v>-0.1343489093849716</v>
      </c>
      <c r="R51" s="69">
        <f>R39/AVERAGE('Balance Sheet (Annual)'!Q46:R46)</f>
        <v>0.18180120691557503</v>
      </c>
      <c r="S51" s="69">
        <f>S39/AVERAGE('Balance Sheet (Annual)'!R46:S46)</f>
        <v>0.28610246948842494</v>
      </c>
      <c r="T51" s="69">
        <f>T39/AVERAGE('Balance Sheet (Annual)'!S46:T46)</f>
        <v>0.23933445205053722</v>
      </c>
      <c r="U51" s="69">
        <f>U39/AVERAGE('Balance Sheet (Annual)'!T46:U46)</f>
        <v>0.32760651875122704</v>
      </c>
      <c r="V51" s="69">
        <f>V39/AVERAGE('Balance Sheet (Annual)'!U46:V46)</f>
        <v>0.34348646375559722</v>
      </c>
      <c r="W51" s="69">
        <f>W39/AVERAGE('Balance Sheet (Annual)'!V46:W46)</f>
        <v>0.20251613546668173</v>
      </c>
      <c r="X51" s="65"/>
    </row>
    <row r="52" spans="1:24" x14ac:dyDescent="0.25">
      <c r="C52" s="88"/>
      <c r="D52" s="65"/>
      <c r="E52" s="65"/>
      <c r="F52" s="65"/>
      <c r="G52" s="65"/>
      <c r="H52" s="65"/>
      <c r="I52" s="66"/>
      <c r="J52" s="65"/>
      <c r="K52" s="65"/>
      <c r="L52" s="65"/>
      <c r="M52" s="65"/>
      <c r="N52" s="65"/>
      <c r="O52" s="65"/>
      <c r="P52" s="65"/>
      <c r="Q52" s="65"/>
      <c r="R52" s="65"/>
      <c r="S52" s="65"/>
      <c r="T52" s="65"/>
      <c r="U52" s="65"/>
      <c r="V52" s="65"/>
      <c r="W52" s="65"/>
      <c r="X52" s="65"/>
    </row>
    <row r="53" spans="1:24" x14ac:dyDescent="0.25">
      <c r="A53" s="54" t="s">
        <v>112</v>
      </c>
      <c r="B53" s="70">
        <f t="shared" ref="B53:C53" si="32">B28/B27</f>
        <v>-1.6472868217052405E-2</v>
      </c>
      <c r="C53" s="89">
        <f t="shared" si="32"/>
        <v>0.20541565483516835</v>
      </c>
      <c r="D53" s="69">
        <f>D28/D27</f>
        <v>0.20406175771971496</v>
      </c>
      <c r="E53" s="69">
        <f t="shared" ref="E53:G53" si="33">E28/E27</f>
        <v>0.20473428874142649</v>
      </c>
      <c r="F53" s="69">
        <f t="shared" si="33"/>
        <v>0.22872701199542647</v>
      </c>
      <c r="G53" s="69">
        <f t="shared" si="33"/>
        <v>0.17151346567201911</v>
      </c>
      <c r="H53" s="69">
        <f t="shared" ref="H53:J53" si="34">H28/H27</f>
        <v>0.25284024498574059</v>
      </c>
      <c r="I53" s="70">
        <f t="shared" si="34"/>
        <v>0.28115863194397211</v>
      </c>
      <c r="J53" s="69">
        <f t="shared" si="34"/>
        <v>0.31967984934086652</v>
      </c>
      <c r="K53" s="69">
        <f t="shared" ref="K53" si="35">K28/K27</f>
        <v>0.32840515885498622</v>
      </c>
      <c r="L53" s="69">
        <f t="shared" ref="L53:M53" si="36">L28/L27</f>
        <v>0.32244186046511564</v>
      </c>
      <c r="M53" s="69">
        <f t="shared" si="36"/>
        <v>0.31524626242695586</v>
      </c>
      <c r="N53" s="69">
        <f>N28/N27</f>
        <v>0.31708137188971119</v>
      </c>
      <c r="O53" s="69">
        <f t="shared" ref="O53:X53" si="37">O28/O27</f>
        <v>0.31746741630462544</v>
      </c>
      <c r="P53" s="69">
        <f t="shared" si="37"/>
        <v>0.32076562399640357</v>
      </c>
      <c r="Q53" s="69">
        <f>Q28/Q27</f>
        <v>0.68511021142600315</v>
      </c>
      <c r="R53" s="69">
        <f t="shared" si="37"/>
        <v>0.30153573538098083</v>
      </c>
      <c r="S53" s="69">
        <f t="shared" si="37"/>
        <v>0.32290810455367386</v>
      </c>
      <c r="T53" s="69">
        <f t="shared" si="37"/>
        <v>0.32298800330273481</v>
      </c>
      <c r="U53" s="69">
        <f t="shared" si="37"/>
        <v>0.32728088787334758</v>
      </c>
      <c r="V53" s="69">
        <f t="shared" si="37"/>
        <v>0.32494488358337381</v>
      </c>
      <c r="W53" s="69">
        <f t="shared" si="37"/>
        <v>0.32005298553087441</v>
      </c>
      <c r="X53" s="69">
        <f t="shared" si="37"/>
        <v>0.29986385296119744</v>
      </c>
    </row>
    <row r="54" spans="1:24" x14ac:dyDescent="0.25">
      <c r="C54" s="88"/>
      <c r="N54" s="65"/>
      <c r="O54" s="65"/>
      <c r="P54" s="65"/>
      <c r="Q54" s="65"/>
      <c r="R54" s="65"/>
      <c r="S54" s="65"/>
      <c r="T54" s="65"/>
      <c r="U54" s="65"/>
      <c r="V54" s="65"/>
    </row>
    <row r="55" spans="1:24" s="53" customFormat="1" x14ac:dyDescent="0.25">
      <c r="A55" s="53" t="s">
        <v>249</v>
      </c>
      <c r="B55" s="199" t="s">
        <v>252</v>
      </c>
      <c r="C55" s="200"/>
      <c r="D55" s="62">
        <v>2139.5</v>
      </c>
      <c r="E55" s="62">
        <v>2175.6999999999998</v>
      </c>
      <c r="F55" s="62">
        <v>1837.3</v>
      </c>
      <c r="G55" s="62">
        <v>1422.4</v>
      </c>
      <c r="H55" s="62">
        <v>1005.4</v>
      </c>
      <c r="I55" s="62">
        <v>756.2</v>
      </c>
      <c r="J55" s="62">
        <v>748.3</v>
      </c>
      <c r="K55" s="62">
        <v>681.8</v>
      </c>
      <c r="L55" s="62">
        <v>619.29999999999995</v>
      </c>
      <c r="M55" s="62">
        <v>546.79999999999995</v>
      </c>
      <c r="N55" s="62">
        <v>543</v>
      </c>
      <c r="O55" s="199" t="s">
        <v>253</v>
      </c>
      <c r="P55" s="199"/>
      <c r="Q55" s="199"/>
      <c r="R55" s="199"/>
      <c r="S55" s="199"/>
      <c r="T55" s="199"/>
      <c r="U55" s="199"/>
      <c r="V55" s="199"/>
      <c r="W55" s="199"/>
      <c r="X55" s="199"/>
    </row>
    <row r="56" spans="1:24" x14ac:dyDescent="0.25">
      <c r="A56" s="55" t="s">
        <v>250</v>
      </c>
      <c r="C56" s="88"/>
      <c r="M56" s="65"/>
      <c r="N56" s="65"/>
      <c r="O56" s="65"/>
      <c r="P56" s="65"/>
      <c r="Q56" s="65"/>
      <c r="R56" s="65"/>
      <c r="S56" s="65"/>
      <c r="T56" s="65"/>
    </row>
    <row r="57" spans="1:24" x14ac:dyDescent="0.25">
      <c r="A57" s="55" t="s">
        <v>251</v>
      </c>
      <c r="B57" s="69"/>
      <c r="C57" s="89"/>
      <c r="D57" s="69"/>
      <c r="E57" s="69"/>
      <c r="F57" s="69"/>
      <c r="G57" s="69"/>
      <c r="H57" s="69"/>
      <c r="I57" s="69"/>
      <c r="J57" s="69"/>
      <c r="K57" s="69"/>
      <c r="L57" s="69"/>
      <c r="M57" s="69"/>
      <c r="N57" s="69"/>
      <c r="O57" s="69"/>
      <c r="P57" s="69"/>
      <c r="Q57" s="69"/>
      <c r="R57" s="69"/>
      <c r="S57" s="69"/>
      <c r="T57" s="69"/>
      <c r="U57" s="69"/>
      <c r="V57" s="69"/>
      <c r="W57" s="69"/>
      <c r="X57" s="69"/>
    </row>
    <row r="58" spans="1:24" s="55" customFormat="1" x14ac:dyDescent="0.25">
      <c r="A58" s="55" t="s">
        <v>254</v>
      </c>
      <c r="B58" s="153"/>
      <c r="C58" s="154"/>
      <c r="D58" s="153">
        <f>D55/D6</f>
        <v>4.8220930520840144E-2</v>
      </c>
      <c r="E58" s="153">
        <f t="shared" ref="E58:N58" si="38">E55/E6</f>
        <v>5.5415469568229514E-2</v>
      </c>
      <c r="F58" s="153">
        <f t="shared" si="38"/>
        <v>5.076480145002818E-2</v>
      </c>
      <c r="G58" s="153">
        <f t="shared" si="38"/>
        <v>4.5982808171129499E-2</v>
      </c>
      <c r="H58" s="153">
        <f t="shared" si="38"/>
        <v>3.9075161582439108E-2</v>
      </c>
      <c r="I58" s="153">
        <f t="shared" si="38"/>
        <v>3.3647770757319569E-2</v>
      </c>
      <c r="J58" s="153">
        <f t="shared" si="38"/>
        <v>3.7604715791166435E-2</v>
      </c>
      <c r="K58" s="153">
        <f t="shared" si="38"/>
        <v>3.705736880723972E-2</v>
      </c>
      <c r="L58" s="153">
        <f t="shared" si="38"/>
        <v>3.620917478396108E-2</v>
      </c>
      <c r="M58" s="153">
        <f t="shared" si="38"/>
        <v>3.4136596329129729E-2</v>
      </c>
      <c r="N58" s="153">
        <f t="shared" si="38"/>
        <v>3.6436105966663981E-2</v>
      </c>
      <c r="O58" s="153"/>
      <c r="P58" s="153"/>
      <c r="Q58" s="153"/>
      <c r="R58" s="153"/>
      <c r="S58" s="153"/>
      <c r="T58" s="153"/>
      <c r="U58" s="153"/>
      <c r="V58" s="153"/>
      <c r="W58" s="153"/>
      <c r="X58" s="153"/>
    </row>
    <row r="59" spans="1:24" x14ac:dyDescent="0.25">
      <c r="C59" s="88"/>
      <c r="I59" s="65"/>
      <c r="J59" s="65"/>
      <c r="K59" s="65"/>
      <c r="L59" s="65"/>
      <c r="M59" s="65"/>
      <c r="N59" s="65"/>
      <c r="O59" s="65"/>
      <c r="P59" s="65"/>
    </row>
    <row r="60" spans="1:24" ht="21" x14ac:dyDescent="0.25">
      <c r="A60" s="20" t="s">
        <v>145</v>
      </c>
      <c r="B60" s="18"/>
      <c r="C60" s="88"/>
      <c r="I60" s="65"/>
      <c r="J60" s="65"/>
      <c r="K60" s="65"/>
      <c r="L60" s="65"/>
      <c r="M60" s="65"/>
      <c r="N60" s="65"/>
      <c r="O60" s="65"/>
      <c r="P60" s="65"/>
    </row>
    <row r="61" spans="1:24" x14ac:dyDescent="0.25">
      <c r="A61" s="10" t="s">
        <v>159</v>
      </c>
      <c r="B61" s="8"/>
      <c r="C61" s="77"/>
      <c r="D61" s="57"/>
      <c r="E61" s="57"/>
      <c r="F61" s="57"/>
      <c r="G61" s="57"/>
      <c r="H61" s="57"/>
      <c r="I61" s="57"/>
      <c r="J61" s="57"/>
      <c r="K61" s="57"/>
      <c r="L61" s="57"/>
      <c r="M61" s="57"/>
      <c r="N61" s="57"/>
      <c r="O61" s="57"/>
      <c r="P61" s="57"/>
      <c r="Q61" s="57"/>
      <c r="R61" s="57"/>
      <c r="S61" s="57"/>
      <c r="T61" s="57"/>
      <c r="U61" s="57"/>
      <c r="V61" s="57"/>
      <c r="W61" s="57"/>
      <c r="X61" s="57"/>
    </row>
    <row r="62" spans="1:24" x14ac:dyDescent="0.25">
      <c r="A62" s="11" t="s">
        <v>135</v>
      </c>
      <c r="B62" s="8"/>
      <c r="C62" s="77"/>
      <c r="D62" s="57"/>
      <c r="E62" s="57"/>
      <c r="F62" s="57"/>
      <c r="G62" s="57"/>
      <c r="H62" s="57"/>
      <c r="I62" s="57"/>
      <c r="J62" s="57"/>
      <c r="K62" s="57"/>
      <c r="L62" s="57"/>
      <c r="M62" s="57"/>
      <c r="N62" s="57"/>
      <c r="O62" s="57"/>
      <c r="P62" s="57"/>
      <c r="Q62" s="57"/>
      <c r="R62" s="57"/>
      <c r="S62" s="57"/>
      <c r="T62" s="57"/>
      <c r="U62" s="57"/>
      <c r="V62" s="57"/>
      <c r="W62" s="57"/>
      <c r="X62" s="57"/>
    </row>
    <row r="63" spans="1:24" x14ac:dyDescent="0.25">
      <c r="A63" s="11" t="s">
        <v>136</v>
      </c>
      <c r="B63" s="8">
        <v>7600.3</v>
      </c>
      <c r="C63" s="77">
        <v>7973.6</v>
      </c>
      <c r="D63" s="57">
        <v>7879</v>
      </c>
      <c r="E63" s="57">
        <v>7617</v>
      </c>
      <c r="F63" s="57">
        <v>6994.3</v>
      </c>
      <c r="G63" s="57">
        <v>6358.3</v>
      </c>
      <c r="H63" s="57">
        <v>5670.7</v>
      </c>
      <c r="I63" s="57">
        <v>5045.3999999999996</v>
      </c>
      <c r="J63" s="57">
        <v>4737.1000000000004</v>
      </c>
      <c r="K63" s="57">
        <v>4725.5</v>
      </c>
      <c r="L63" s="57">
        <v>4841.8999999999996</v>
      </c>
      <c r="M63" s="57">
        <v>4790.3999999999996</v>
      </c>
      <c r="N63" s="57">
        <v>4648.5</v>
      </c>
      <c r="O63" s="57">
        <v>4480.1000000000004</v>
      </c>
      <c r="P63" s="57">
        <v>4299.2</v>
      </c>
      <c r="Q63" s="57">
        <v>4288.6000000000004</v>
      </c>
      <c r="R63" s="57">
        <v>4396.8</v>
      </c>
      <c r="S63" s="57">
        <v>4433.1000000000004</v>
      </c>
      <c r="T63" s="57">
        <v>4491.3999999999996</v>
      </c>
      <c r="U63" s="57">
        <v>4244.8999999999996</v>
      </c>
      <c r="V63" s="57">
        <v>3966</v>
      </c>
      <c r="W63" s="57">
        <v>3386</v>
      </c>
      <c r="X63" s="57">
        <v>2779</v>
      </c>
    </row>
    <row r="64" spans="1:24" x14ac:dyDescent="0.25">
      <c r="A64" s="11" t="s">
        <v>137</v>
      </c>
      <c r="B64" s="8">
        <v>9823.7999999999993</v>
      </c>
      <c r="C64" s="77">
        <v>9613.1</v>
      </c>
      <c r="D64" s="57">
        <v>9568.2000000000007</v>
      </c>
      <c r="E64" s="57">
        <v>8881.4</v>
      </c>
      <c r="F64" s="57">
        <v>7866.5</v>
      </c>
      <c r="G64" s="57">
        <v>7018.5</v>
      </c>
      <c r="H64" s="57">
        <v>6039.1</v>
      </c>
      <c r="I64" s="57">
        <v>5348.3</v>
      </c>
      <c r="J64" s="57">
        <v>4916.2</v>
      </c>
      <c r="K64" s="57">
        <v>4505.5</v>
      </c>
      <c r="L64" s="57">
        <v>4224.2</v>
      </c>
      <c r="M64" s="57">
        <v>4000.1</v>
      </c>
      <c r="N64" s="57">
        <v>3844.5</v>
      </c>
      <c r="O64" s="57">
        <v>3610.4</v>
      </c>
      <c r="P64" s="57">
        <v>3201.1</v>
      </c>
      <c r="Q64" s="57">
        <v>2824</v>
      </c>
      <c r="R64" s="57">
        <v>2598.5</v>
      </c>
      <c r="S64" s="57">
        <v>2428.5</v>
      </c>
      <c r="T64" s="57">
        <v>2327.6999999999998</v>
      </c>
      <c r="U64" s="57">
        <v>2084.1</v>
      </c>
      <c r="V64" s="57">
        <v>1852</v>
      </c>
      <c r="W64" s="57">
        <v>1541</v>
      </c>
      <c r="X64" s="57">
        <v>1209</v>
      </c>
    </row>
    <row r="65" spans="1:24" x14ac:dyDescent="0.25">
      <c r="A65" s="11" t="s">
        <v>138</v>
      </c>
      <c r="B65" s="12">
        <f>SUM(B63:B64)</f>
        <v>17424.099999999999</v>
      </c>
      <c r="C65" s="158">
        <f t="shared" ref="C65:X65" si="39">SUM(C63:C64)</f>
        <v>17586.7</v>
      </c>
      <c r="D65" s="12">
        <f t="shared" si="39"/>
        <v>17447.2</v>
      </c>
      <c r="E65" s="12">
        <f t="shared" si="39"/>
        <v>16498.400000000001</v>
      </c>
      <c r="F65" s="12">
        <f t="shared" si="39"/>
        <v>14860.8</v>
      </c>
      <c r="G65" s="12">
        <f t="shared" si="39"/>
        <v>13376.8</v>
      </c>
      <c r="H65" s="12">
        <f t="shared" si="39"/>
        <v>11709.8</v>
      </c>
      <c r="I65" s="12">
        <f t="shared" si="39"/>
        <v>10393.700000000001</v>
      </c>
      <c r="J65" s="12">
        <f t="shared" si="39"/>
        <v>9653.2999999999993</v>
      </c>
      <c r="K65" s="12">
        <f t="shared" si="39"/>
        <v>9231</v>
      </c>
      <c r="L65" s="12">
        <f t="shared" si="39"/>
        <v>9066.0999999999985</v>
      </c>
      <c r="M65" s="12">
        <f t="shared" si="39"/>
        <v>8790.5</v>
      </c>
      <c r="N65" s="12">
        <f t="shared" si="39"/>
        <v>8493</v>
      </c>
      <c r="O65" s="12">
        <f t="shared" si="39"/>
        <v>8090.5</v>
      </c>
      <c r="P65" s="12">
        <f t="shared" si="39"/>
        <v>7500.2999999999993</v>
      </c>
      <c r="Q65" s="12">
        <f t="shared" si="39"/>
        <v>7112.6</v>
      </c>
      <c r="R65" s="12">
        <f t="shared" si="39"/>
        <v>6995.3</v>
      </c>
      <c r="S65" s="12">
        <f t="shared" si="39"/>
        <v>6861.6</v>
      </c>
      <c r="T65" s="12">
        <f t="shared" si="39"/>
        <v>6819.0999999999995</v>
      </c>
      <c r="U65" s="12">
        <f t="shared" si="39"/>
        <v>6329</v>
      </c>
      <c r="V65" s="12">
        <f t="shared" si="39"/>
        <v>5818</v>
      </c>
      <c r="W65" s="12">
        <f t="shared" si="39"/>
        <v>4927</v>
      </c>
      <c r="X65" s="12">
        <f t="shared" si="39"/>
        <v>3988</v>
      </c>
    </row>
    <row r="66" spans="1:24" x14ac:dyDescent="0.25">
      <c r="A66" s="11" t="s">
        <v>139</v>
      </c>
      <c r="B66" s="8">
        <v>5558</v>
      </c>
      <c r="C66" s="159">
        <v>5282.4</v>
      </c>
      <c r="D66" s="8">
        <v>5288.5</v>
      </c>
      <c r="E66" s="8">
        <v>4915.1000000000004</v>
      </c>
      <c r="F66" s="8">
        <v>4547.8</v>
      </c>
      <c r="G66" s="8">
        <v>4382.2</v>
      </c>
      <c r="H66" s="8">
        <v>4365.7</v>
      </c>
      <c r="I66" s="8">
        <v>4263.1000000000004</v>
      </c>
      <c r="J66" s="8">
        <v>4111.3999999999996</v>
      </c>
      <c r="K66" s="8">
        <v>4030.9</v>
      </c>
      <c r="L66" s="8">
        <v>3990.3</v>
      </c>
      <c r="M66" s="8">
        <v>3944.8</v>
      </c>
      <c r="N66" s="8">
        <v>3790.8</v>
      </c>
      <c r="O66" s="8">
        <v>3612.2</v>
      </c>
      <c r="P66" s="8">
        <v>3440.3</v>
      </c>
      <c r="Q66" s="8">
        <v>3352.3</v>
      </c>
      <c r="R66" s="8">
        <v>3120.3</v>
      </c>
      <c r="S66" s="8">
        <v>2879.5</v>
      </c>
      <c r="T66" s="8">
        <v>2674.9</v>
      </c>
      <c r="U66" s="8">
        <v>2351.3000000000002</v>
      </c>
      <c r="V66" s="8">
        <v>1990</v>
      </c>
      <c r="W66" s="8">
        <v>1642</v>
      </c>
      <c r="X66" s="8">
        <v>1383</v>
      </c>
    </row>
    <row r="67" spans="1:24" x14ac:dyDescent="0.25">
      <c r="A67" s="11" t="s">
        <v>140</v>
      </c>
      <c r="B67" s="12">
        <f>SUM(B65:B66)</f>
        <v>22982.1</v>
      </c>
      <c r="C67" s="158">
        <f t="shared" ref="C67:X67" si="40">SUM(C65:C66)</f>
        <v>22869.1</v>
      </c>
      <c r="D67" s="12">
        <f t="shared" si="40"/>
        <v>22735.7</v>
      </c>
      <c r="E67" s="12">
        <f t="shared" si="40"/>
        <v>21413.5</v>
      </c>
      <c r="F67" s="12">
        <f t="shared" si="40"/>
        <v>19408.599999999999</v>
      </c>
      <c r="G67" s="12">
        <f t="shared" si="40"/>
        <v>17759</v>
      </c>
      <c r="H67" s="12">
        <f t="shared" si="40"/>
        <v>16075.5</v>
      </c>
      <c r="I67" s="12">
        <f t="shared" si="40"/>
        <v>14656.800000000001</v>
      </c>
      <c r="J67" s="12">
        <f t="shared" si="40"/>
        <v>13764.699999999999</v>
      </c>
      <c r="K67" s="12">
        <f t="shared" si="40"/>
        <v>13261.9</v>
      </c>
      <c r="L67" s="12">
        <f t="shared" si="40"/>
        <v>13056.399999999998</v>
      </c>
      <c r="M67" s="12">
        <f t="shared" si="40"/>
        <v>12735.3</v>
      </c>
      <c r="N67" s="12">
        <f t="shared" si="40"/>
        <v>12283.8</v>
      </c>
      <c r="O67" s="12">
        <f t="shared" si="40"/>
        <v>11702.7</v>
      </c>
      <c r="P67" s="12">
        <f t="shared" si="40"/>
        <v>10940.599999999999</v>
      </c>
      <c r="Q67" s="12">
        <f t="shared" si="40"/>
        <v>10464.900000000001</v>
      </c>
      <c r="R67" s="12">
        <f t="shared" si="40"/>
        <v>10115.6</v>
      </c>
      <c r="S67" s="12">
        <f t="shared" si="40"/>
        <v>9741.1</v>
      </c>
      <c r="T67" s="12">
        <f t="shared" si="40"/>
        <v>9494</v>
      </c>
      <c r="U67" s="12">
        <f t="shared" si="40"/>
        <v>8680.2999999999993</v>
      </c>
      <c r="V67" s="12">
        <f t="shared" si="40"/>
        <v>7808</v>
      </c>
      <c r="W67" s="12">
        <f t="shared" si="40"/>
        <v>6569</v>
      </c>
      <c r="X67" s="12">
        <f t="shared" si="40"/>
        <v>5371</v>
      </c>
    </row>
    <row r="68" spans="1:24" x14ac:dyDescent="0.25">
      <c r="A68" s="11" t="s">
        <v>141</v>
      </c>
      <c r="B68" s="8">
        <v>1039.8</v>
      </c>
      <c r="C68" s="159">
        <v>952.7</v>
      </c>
      <c r="D68" s="8">
        <v>971.2</v>
      </c>
      <c r="E68" s="8">
        <v>822</v>
      </c>
      <c r="F68" s="8">
        <v>751.4</v>
      </c>
      <c r="G68" s="8">
        <v>696.9</v>
      </c>
      <c r="H68" s="8">
        <v>646.79999999999995</v>
      </c>
      <c r="I68" s="8">
        <v>607.9</v>
      </c>
      <c r="J68" s="8">
        <v>555.79999999999995</v>
      </c>
      <c r="K68" s="8">
        <v>514.70000000000005</v>
      </c>
      <c r="L68" s="8">
        <v>514.6</v>
      </c>
      <c r="M68" s="8">
        <v>519.6</v>
      </c>
      <c r="N68" s="8">
        <v>509.1</v>
      </c>
      <c r="O68" s="8">
        <v>510.4</v>
      </c>
      <c r="P68" s="8">
        <v>512.79999999999995</v>
      </c>
      <c r="Q68" s="8">
        <v>539.4</v>
      </c>
      <c r="R68" s="8">
        <v>539.20000000000005</v>
      </c>
      <c r="S68" s="8">
        <v>503.2</v>
      </c>
      <c r="T68" s="8">
        <v>468.2</v>
      </c>
      <c r="U68" s="8">
        <v>420.2</v>
      </c>
      <c r="V68" s="8">
        <v>365</v>
      </c>
      <c r="W68" s="8">
        <v>289</v>
      </c>
      <c r="X68" s="8">
        <v>209</v>
      </c>
    </row>
    <row r="69" spans="1:24" x14ac:dyDescent="0.25">
      <c r="A69" s="11" t="s">
        <v>142</v>
      </c>
      <c r="B69" s="8">
        <v>2835.5</v>
      </c>
      <c r="C69" s="159">
        <v>2735</v>
      </c>
      <c r="D69" s="8">
        <v>2776.2</v>
      </c>
      <c r="E69" s="8">
        <v>2484.4</v>
      </c>
      <c r="F69" s="8">
        <v>2202.1</v>
      </c>
      <c r="G69" s="8">
        <v>1936.5</v>
      </c>
      <c r="H69" s="8">
        <v>1461.7</v>
      </c>
      <c r="I69" s="8">
        <v>1201.9000000000001</v>
      </c>
      <c r="J69" s="8">
        <v>1076.5</v>
      </c>
      <c r="K69" s="8">
        <v>0</v>
      </c>
      <c r="L69" s="8">
        <v>0</v>
      </c>
      <c r="M69" s="8">
        <v>0</v>
      </c>
      <c r="N69" s="8">
        <v>0</v>
      </c>
      <c r="O69" s="8">
        <v>0</v>
      </c>
      <c r="P69" s="8">
        <v>0</v>
      </c>
      <c r="Q69" s="8">
        <v>0</v>
      </c>
      <c r="R69" s="8">
        <v>0</v>
      </c>
      <c r="S69" s="8">
        <v>0</v>
      </c>
      <c r="T69" s="8">
        <v>0</v>
      </c>
      <c r="U69" s="8">
        <v>0</v>
      </c>
      <c r="V69" s="8">
        <v>0</v>
      </c>
      <c r="W69" s="8">
        <v>0</v>
      </c>
      <c r="X69" s="8">
        <v>0</v>
      </c>
    </row>
    <row r="70" spans="1:24" ht="20" thickBot="1" x14ac:dyDescent="0.3">
      <c r="A70" s="10" t="s">
        <v>143</v>
      </c>
      <c r="B70" s="13">
        <f>SUM(B67:B69)</f>
        <v>26857.399999999998</v>
      </c>
      <c r="C70" s="160">
        <f t="shared" ref="C70:X70" si="41">SUM(C67:C69)</f>
        <v>26556.799999999999</v>
      </c>
      <c r="D70" s="13">
        <f t="shared" si="41"/>
        <v>26483.100000000002</v>
      </c>
      <c r="E70" s="13">
        <f t="shared" si="41"/>
        <v>24719.9</v>
      </c>
      <c r="F70" s="13">
        <f t="shared" si="41"/>
        <v>22362.1</v>
      </c>
      <c r="G70" s="13">
        <f t="shared" si="41"/>
        <v>20392.400000000001</v>
      </c>
      <c r="H70" s="13">
        <f t="shared" si="41"/>
        <v>18184</v>
      </c>
      <c r="I70" s="13">
        <f t="shared" si="41"/>
        <v>16466.600000000002</v>
      </c>
      <c r="J70" s="13">
        <f t="shared" si="41"/>
        <v>15396.999999999998</v>
      </c>
      <c r="K70" s="13">
        <f t="shared" si="41"/>
        <v>13776.6</v>
      </c>
      <c r="L70" s="13">
        <f t="shared" si="41"/>
        <v>13570.999999999998</v>
      </c>
      <c r="M70" s="13">
        <f t="shared" si="41"/>
        <v>13254.9</v>
      </c>
      <c r="N70" s="13">
        <f t="shared" si="41"/>
        <v>12792.9</v>
      </c>
      <c r="O70" s="13">
        <f t="shared" si="41"/>
        <v>12213.1</v>
      </c>
      <c r="P70" s="13">
        <f t="shared" si="41"/>
        <v>11453.399999999998</v>
      </c>
      <c r="Q70" s="13">
        <f t="shared" si="41"/>
        <v>11004.300000000001</v>
      </c>
      <c r="R70" s="13">
        <f t="shared" si="41"/>
        <v>10654.800000000001</v>
      </c>
      <c r="S70" s="13">
        <f t="shared" si="41"/>
        <v>10244.300000000001</v>
      </c>
      <c r="T70" s="13">
        <f t="shared" si="41"/>
        <v>9962.2000000000007</v>
      </c>
      <c r="U70" s="13">
        <f t="shared" si="41"/>
        <v>9100.5</v>
      </c>
      <c r="V70" s="13">
        <f t="shared" si="41"/>
        <v>8173</v>
      </c>
      <c r="W70" s="13">
        <f t="shared" si="41"/>
        <v>6858</v>
      </c>
      <c r="X70" s="13">
        <f t="shared" si="41"/>
        <v>5580</v>
      </c>
    </row>
    <row r="71" spans="1:24" ht="20" thickTop="1" x14ac:dyDescent="0.25">
      <c r="C71" s="163"/>
    </row>
    <row r="72" spans="1:24" x14ac:dyDescent="0.25">
      <c r="A72" s="10" t="s">
        <v>163</v>
      </c>
      <c r="C72" s="88"/>
    </row>
    <row r="73" spans="1:24" x14ac:dyDescent="0.25">
      <c r="A73" s="11" t="s">
        <v>135</v>
      </c>
      <c r="C73" s="89"/>
      <c r="D73" s="69"/>
      <c r="E73" s="69"/>
      <c r="F73" s="69"/>
      <c r="G73" s="69"/>
      <c r="H73" s="69"/>
      <c r="I73" s="69"/>
      <c r="J73" s="69"/>
      <c r="K73" s="69"/>
      <c r="L73" s="69"/>
      <c r="M73" s="69"/>
      <c r="N73" s="69"/>
      <c r="O73" s="69"/>
      <c r="P73" s="69"/>
      <c r="Q73" s="69"/>
      <c r="R73" s="69"/>
      <c r="S73" s="69"/>
      <c r="T73" s="69"/>
      <c r="U73" s="69"/>
      <c r="V73" s="69"/>
      <c r="W73" s="69"/>
      <c r="X73" s="69"/>
    </row>
    <row r="74" spans="1:24" x14ac:dyDescent="0.25">
      <c r="A74" s="11" t="s">
        <v>136</v>
      </c>
      <c r="B74" s="69">
        <f t="shared" ref="B74:B81" si="42">(B63/C63)-1</f>
        <v>-4.6816996087087448E-2</v>
      </c>
      <c r="C74" s="89"/>
      <c r="D74" s="69">
        <f t="shared" ref="D74:D81" si="43">(D63/E63)-1</f>
        <v>3.4396744124983503E-2</v>
      </c>
      <c r="E74" s="69">
        <f t="shared" ref="E74:V74" si="44">(E63/F63)-1</f>
        <v>8.9029638419856116E-2</v>
      </c>
      <c r="F74" s="69">
        <f t="shared" si="44"/>
        <v>0.10002673670635231</v>
      </c>
      <c r="G74" s="69">
        <f t="shared" si="44"/>
        <v>0.12125487153261516</v>
      </c>
      <c r="H74" s="69">
        <f t="shared" si="44"/>
        <v>0.12393467316763784</v>
      </c>
      <c r="I74" s="69">
        <f t="shared" si="44"/>
        <v>6.5082012201557848E-2</v>
      </c>
      <c r="J74" s="69">
        <f t="shared" si="44"/>
        <v>2.45476669135547E-3</v>
      </c>
      <c r="K74" s="69">
        <f t="shared" si="44"/>
        <v>-2.4040149528077759E-2</v>
      </c>
      <c r="L74" s="69">
        <f t="shared" si="44"/>
        <v>1.0750668002672104E-2</v>
      </c>
      <c r="M74" s="69">
        <f t="shared" si="44"/>
        <v>3.0525976121329457E-2</v>
      </c>
      <c r="N74" s="69">
        <f t="shared" si="44"/>
        <v>3.7588446686457777E-2</v>
      </c>
      <c r="O74" s="69">
        <f t="shared" si="44"/>
        <v>4.2077595831782721E-2</v>
      </c>
      <c r="P74" s="69">
        <f t="shared" si="44"/>
        <v>2.4716690761552584E-3</v>
      </c>
      <c r="Q74" s="69">
        <f t="shared" si="44"/>
        <v>-2.4608806404657901E-2</v>
      </c>
      <c r="R74" s="69">
        <f t="shared" si="44"/>
        <v>-8.1884008932801011E-3</v>
      </c>
      <c r="S74" s="69">
        <f t="shared" si="44"/>
        <v>-1.2980362470499052E-2</v>
      </c>
      <c r="T74" s="69">
        <f t="shared" si="44"/>
        <v>5.8069683620344481E-2</v>
      </c>
      <c r="U74" s="69">
        <f t="shared" si="44"/>
        <v>7.0322743318204539E-2</v>
      </c>
      <c r="V74" s="69">
        <f t="shared" si="44"/>
        <v>0.17129356172474908</v>
      </c>
      <c r="W74" s="69">
        <f>(W63/X63)-1</f>
        <v>0.21842389348686586</v>
      </c>
      <c r="X74" s="69"/>
    </row>
    <row r="75" spans="1:24" x14ac:dyDescent="0.25">
      <c r="A75" s="11" t="s">
        <v>137</v>
      </c>
      <c r="B75" s="161">
        <f t="shared" si="42"/>
        <v>2.1918007718633836E-2</v>
      </c>
      <c r="C75" s="89"/>
      <c r="D75" s="161">
        <f t="shared" si="43"/>
        <v>7.733015065192439E-2</v>
      </c>
      <c r="E75" s="161">
        <f t="shared" ref="E75:V75" si="45">(E64/F64)-1</f>
        <v>0.12901544524248387</v>
      </c>
      <c r="F75" s="161">
        <f t="shared" si="45"/>
        <v>0.12082353779297561</v>
      </c>
      <c r="G75" s="161">
        <f t="shared" si="45"/>
        <v>0.16217648325081546</v>
      </c>
      <c r="H75" s="161">
        <f t="shared" si="45"/>
        <v>0.12916253762877927</v>
      </c>
      <c r="I75" s="161">
        <f t="shared" si="45"/>
        <v>8.7893088157520172E-2</v>
      </c>
      <c r="J75" s="161">
        <f t="shared" si="45"/>
        <v>9.1155254688713772E-2</v>
      </c>
      <c r="K75" s="161">
        <f t="shared" si="45"/>
        <v>6.6592490885848177E-2</v>
      </c>
      <c r="L75" s="161">
        <f t="shared" si="45"/>
        <v>5.6023599410014668E-2</v>
      </c>
      <c r="M75" s="161">
        <f t="shared" si="45"/>
        <v>4.0473403563532351E-2</v>
      </c>
      <c r="N75" s="161">
        <f t="shared" si="45"/>
        <v>6.484046089076001E-2</v>
      </c>
      <c r="O75" s="161">
        <f t="shared" si="45"/>
        <v>0.12786229733529098</v>
      </c>
      <c r="P75" s="161">
        <f t="shared" si="45"/>
        <v>0.13353399433427748</v>
      </c>
      <c r="Q75" s="161">
        <f t="shared" si="45"/>
        <v>8.6780835097171494E-2</v>
      </c>
      <c r="R75" s="161">
        <f t="shared" si="45"/>
        <v>7.0002058884084839E-2</v>
      </c>
      <c r="S75" s="161">
        <f t="shared" si="45"/>
        <v>4.3304549555355232E-2</v>
      </c>
      <c r="T75" s="161">
        <f t="shared" si="45"/>
        <v>0.1168849863250323</v>
      </c>
      <c r="U75" s="161">
        <f t="shared" si="45"/>
        <v>0.1253239740820733</v>
      </c>
      <c r="V75" s="161">
        <f t="shared" si="45"/>
        <v>0.20181700194678776</v>
      </c>
      <c r="W75" s="161">
        <f>(W64/X64)-1</f>
        <v>0.27460711331679066</v>
      </c>
      <c r="X75" s="70"/>
    </row>
    <row r="76" spans="1:24" x14ac:dyDescent="0.25">
      <c r="A76" s="11" t="s">
        <v>138</v>
      </c>
      <c r="B76" s="69">
        <f t="shared" si="42"/>
        <v>-9.2456231129206534E-3</v>
      </c>
      <c r="C76" s="89"/>
      <c r="D76" s="69">
        <f t="shared" si="43"/>
        <v>5.7508606895213976E-2</v>
      </c>
      <c r="E76" s="69">
        <f t="shared" ref="E76:W76" si="46">(E65/F65)-1</f>
        <v>0.11019595176571939</v>
      </c>
      <c r="F76" s="69">
        <f t="shared" si="46"/>
        <v>0.1109383410083129</v>
      </c>
      <c r="G76" s="69">
        <f t="shared" si="46"/>
        <v>0.14235939127909947</v>
      </c>
      <c r="H76" s="69">
        <f t="shared" si="46"/>
        <v>0.12662478232005903</v>
      </c>
      <c r="I76" s="69">
        <f t="shared" si="46"/>
        <v>7.6699159872789746E-2</v>
      </c>
      <c r="J76" s="69">
        <f t="shared" si="46"/>
        <v>4.5748022966092483E-2</v>
      </c>
      <c r="K76" s="69">
        <f t="shared" si="46"/>
        <v>1.8188636789799428E-2</v>
      </c>
      <c r="L76" s="69">
        <f t="shared" si="46"/>
        <v>3.1352027757237666E-2</v>
      </c>
      <c r="M76" s="69">
        <f t="shared" si="46"/>
        <v>3.5028847286000309E-2</v>
      </c>
      <c r="N76" s="69">
        <f t="shared" si="46"/>
        <v>4.9749706445831432E-2</v>
      </c>
      <c r="O76" s="69">
        <f t="shared" si="46"/>
        <v>7.869018572590436E-2</v>
      </c>
      <c r="P76" s="69">
        <f t="shared" si="46"/>
        <v>5.4508899699125424E-2</v>
      </c>
      <c r="Q76" s="69">
        <f t="shared" si="46"/>
        <v>1.6768401641101827E-2</v>
      </c>
      <c r="R76" s="69">
        <f t="shared" si="46"/>
        <v>1.9485251253351876E-2</v>
      </c>
      <c r="S76" s="69">
        <f t="shared" si="46"/>
        <v>6.2324940241382798E-3</v>
      </c>
      <c r="T76" s="69">
        <f t="shared" si="46"/>
        <v>7.7437193869489551E-2</v>
      </c>
      <c r="U76" s="69">
        <f t="shared" si="46"/>
        <v>8.7830869714678572E-2</v>
      </c>
      <c r="V76" s="69">
        <f t="shared" si="46"/>
        <v>0.18084026791150798</v>
      </c>
      <c r="W76" s="69">
        <f t="shared" si="46"/>
        <v>0.23545636910732193</v>
      </c>
      <c r="X76" s="70"/>
    </row>
    <row r="77" spans="1:24" x14ac:dyDescent="0.25">
      <c r="A77" s="11" t="s">
        <v>139</v>
      </c>
      <c r="B77" s="69">
        <f t="shared" si="42"/>
        <v>5.2173254581250994E-2</v>
      </c>
      <c r="C77" s="89"/>
      <c r="D77" s="69">
        <f t="shared" si="43"/>
        <v>7.5969970092164774E-2</v>
      </c>
      <c r="E77" s="69">
        <f t="shared" ref="E77:W77" si="47">(E66/F66)-1</f>
        <v>8.0764325607986409E-2</v>
      </c>
      <c r="F77" s="69">
        <f t="shared" si="47"/>
        <v>3.7789238282141424E-2</v>
      </c>
      <c r="G77" s="69">
        <f t="shared" si="47"/>
        <v>3.7794626291316469E-3</v>
      </c>
      <c r="H77" s="69">
        <f t="shared" si="47"/>
        <v>2.4066993502380729E-2</v>
      </c>
      <c r="I77" s="69">
        <f t="shared" si="47"/>
        <v>3.689740720922341E-2</v>
      </c>
      <c r="J77" s="69">
        <f t="shared" si="47"/>
        <v>1.9970726140563944E-2</v>
      </c>
      <c r="K77" s="69">
        <f t="shared" si="47"/>
        <v>1.0174673583439819E-2</v>
      </c>
      <c r="L77" s="69">
        <f t="shared" si="47"/>
        <v>1.1534171567633367E-2</v>
      </c>
      <c r="M77" s="69">
        <f t="shared" si="47"/>
        <v>4.0624670254299833E-2</v>
      </c>
      <c r="N77" s="69">
        <f t="shared" si="47"/>
        <v>4.9443552405736169E-2</v>
      </c>
      <c r="O77" s="69">
        <f t="shared" si="47"/>
        <v>4.996657268261484E-2</v>
      </c>
      <c r="P77" s="69">
        <f t="shared" si="47"/>
        <v>2.6250633893148079E-2</v>
      </c>
      <c r="Q77" s="69">
        <f t="shared" si="47"/>
        <v>7.4351825145018147E-2</v>
      </c>
      <c r="R77" s="69">
        <f t="shared" si="47"/>
        <v>8.3625629449557204E-2</v>
      </c>
      <c r="S77" s="69">
        <f t="shared" si="47"/>
        <v>7.6488840704325378E-2</v>
      </c>
      <c r="T77" s="69">
        <f t="shared" si="47"/>
        <v>0.13762599413090615</v>
      </c>
      <c r="U77" s="69">
        <f t="shared" si="47"/>
        <v>0.18155778894472374</v>
      </c>
      <c r="V77" s="69">
        <f t="shared" si="47"/>
        <v>0.21193666260657729</v>
      </c>
      <c r="W77" s="69">
        <f t="shared" si="47"/>
        <v>0.18727404193781627</v>
      </c>
      <c r="X77" s="70"/>
    </row>
    <row r="78" spans="1:24" x14ac:dyDescent="0.25">
      <c r="A78" s="11" t="s">
        <v>140</v>
      </c>
      <c r="B78" s="162">
        <f t="shared" si="42"/>
        <v>4.9411651529793765E-3</v>
      </c>
      <c r="C78" s="89"/>
      <c r="D78" s="162">
        <f t="shared" si="43"/>
        <v>6.1746094753309944E-2</v>
      </c>
      <c r="E78" s="162">
        <f t="shared" ref="E78:W78" si="48">(E67/F67)-1</f>
        <v>0.10329956823263919</v>
      </c>
      <c r="F78" s="162">
        <f t="shared" si="48"/>
        <v>9.2888113069429457E-2</v>
      </c>
      <c r="G78" s="162">
        <f t="shared" si="48"/>
        <v>0.10472458088395387</v>
      </c>
      <c r="H78" s="162">
        <f t="shared" si="48"/>
        <v>9.6794661863435216E-2</v>
      </c>
      <c r="I78" s="162">
        <f t="shared" si="48"/>
        <v>6.4810711457569115E-2</v>
      </c>
      <c r="J78" s="162">
        <f t="shared" si="48"/>
        <v>3.7913119537924311E-2</v>
      </c>
      <c r="K78" s="162">
        <f t="shared" si="48"/>
        <v>1.5739407493642998E-2</v>
      </c>
      <c r="L78" s="162">
        <f t="shared" si="48"/>
        <v>2.5213383273263945E-2</v>
      </c>
      <c r="M78" s="162">
        <f t="shared" si="48"/>
        <v>3.6755727055145737E-2</v>
      </c>
      <c r="N78" s="162">
        <f t="shared" si="48"/>
        <v>4.9655207772565157E-2</v>
      </c>
      <c r="O78" s="162">
        <f t="shared" si="48"/>
        <v>6.9657971226441129E-2</v>
      </c>
      <c r="P78" s="162">
        <f t="shared" si="48"/>
        <v>4.5456717216600051E-2</v>
      </c>
      <c r="Q78" s="162">
        <f t="shared" si="48"/>
        <v>3.453082367827931E-2</v>
      </c>
      <c r="R78" s="162">
        <f t="shared" si="48"/>
        <v>3.8445350114463483E-2</v>
      </c>
      <c r="S78" s="162">
        <f t="shared" si="48"/>
        <v>2.6026964398567554E-2</v>
      </c>
      <c r="T78" s="162">
        <f t="shared" si="48"/>
        <v>9.3740999735032249E-2</v>
      </c>
      <c r="U78" s="162">
        <f t="shared" si="48"/>
        <v>0.11171874999999987</v>
      </c>
      <c r="V78" s="162">
        <f t="shared" si="48"/>
        <v>0.18861318313289699</v>
      </c>
      <c r="W78" s="162">
        <f t="shared" si="48"/>
        <v>0.22304971141314467</v>
      </c>
      <c r="X78" s="70"/>
    </row>
    <row r="79" spans="1:24" x14ac:dyDescent="0.25">
      <c r="A79" s="11" t="s">
        <v>141</v>
      </c>
      <c r="B79" s="69">
        <f t="shared" si="42"/>
        <v>9.1424372835100076E-2</v>
      </c>
      <c r="C79" s="89"/>
      <c r="D79" s="69">
        <f t="shared" si="43"/>
        <v>0.18150851581508531</v>
      </c>
      <c r="E79" s="69">
        <f t="shared" ref="E79:W79" si="49">(E68/F68)-1</f>
        <v>9.3957945169017787E-2</v>
      </c>
      <c r="F79" s="69">
        <f t="shared" si="49"/>
        <v>7.8203472521165107E-2</v>
      </c>
      <c r="G79" s="69">
        <f t="shared" si="49"/>
        <v>7.7458256029684591E-2</v>
      </c>
      <c r="H79" s="69">
        <f t="shared" si="49"/>
        <v>6.3990787958545736E-2</v>
      </c>
      <c r="I79" s="69">
        <f t="shared" si="49"/>
        <v>9.3738754947823022E-2</v>
      </c>
      <c r="J79" s="69">
        <f t="shared" si="49"/>
        <v>7.9852341169613261E-2</v>
      </c>
      <c r="K79" s="69">
        <f t="shared" si="49"/>
        <v>1.9432568985622289E-4</v>
      </c>
      <c r="L79" s="69">
        <f t="shared" si="49"/>
        <v>-9.6227867590453764E-3</v>
      </c>
      <c r="M79" s="69">
        <f t="shared" si="49"/>
        <v>2.0624631703005214E-2</v>
      </c>
      <c r="N79" s="69">
        <f t="shared" si="49"/>
        <v>-2.5470219435735908E-3</v>
      </c>
      <c r="O79" s="69">
        <f t="shared" si="49"/>
        <v>-4.6801872074883066E-3</v>
      </c>
      <c r="P79" s="69">
        <f t="shared" si="49"/>
        <v>-4.9314052651093898E-2</v>
      </c>
      <c r="Q79" s="69">
        <f>(Q68/R68)-1</f>
        <v>3.7091988130555364E-4</v>
      </c>
      <c r="R79" s="69">
        <f t="shared" si="49"/>
        <v>7.1542130365659817E-2</v>
      </c>
      <c r="S79" s="69">
        <f t="shared" si="49"/>
        <v>7.4754378470738958E-2</v>
      </c>
      <c r="T79" s="69">
        <f t="shared" si="49"/>
        <v>0.11423131841980005</v>
      </c>
      <c r="U79" s="69">
        <f t="shared" si="49"/>
        <v>0.15123287671232877</v>
      </c>
      <c r="V79" s="69">
        <f t="shared" si="49"/>
        <v>0.26297577854671284</v>
      </c>
      <c r="W79" s="69">
        <f t="shared" si="49"/>
        <v>0.38277511961722488</v>
      </c>
      <c r="X79" s="70"/>
    </row>
    <row r="80" spans="1:24" x14ac:dyDescent="0.25">
      <c r="A80" s="11" t="s">
        <v>142</v>
      </c>
      <c r="B80" s="69">
        <f t="shared" si="42"/>
        <v>3.6745886654478976E-2</v>
      </c>
      <c r="C80" s="89"/>
      <c r="D80" s="69">
        <f t="shared" si="43"/>
        <v>0.11745290613427772</v>
      </c>
      <c r="E80" s="69">
        <f t="shared" ref="E80:I80" si="50">(E69/F69)-1</f>
        <v>0.12819581308750738</v>
      </c>
      <c r="F80" s="69">
        <f t="shared" si="50"/>
        <v>0.13715466046991986</v>
      </c>
      <c r="G80" s="69">
        <f t="shared" si="50"/>
        <v>0.32482725593487038</v>
      </c>
      <c r="H80" s="69">
        <f t="shared" si="50"/>
        <v>0.21615775022880435</v>
      </c>
      <c r="I80" s="69">
        <f t="shared" si="50"/>
        <v>0.11648862052949371</v>
      </c>
      <c r="J80" s="164" t="s">
        <v>120</v>
      </c>
      <c r="K80" s="164" t="s">
        <v>120</v>
      </c>
      <c r="L80" s="164" t="s">
        <v>120</v>
      </c>
      <c r="M80" s="164" t="s">
        <v>120</v>
      </c>
      <c r="N80" s="164" t="s">
        <v>120</v>
      </c>
      <c r="O80" s="164" t="s">
        <v>120</v>
      </c>
      <c r="P80" s="164" t="s">
        <v>120</v>
      </c>
      <c r="Q80" s="164" t="s">
        <v>120</v>
      </c>
      <c r="R80" s="164" t="s">
        <v>120</v>
      </c>
      <c r="S80" s="164" t="s">
        <v>120</v>
      </c>
      <c r="T80" s="164" t="s">
        <v>120</v>
      </c>
      <c r="U80" s="164" t="s">
        <v>120</v>
      </c>
      <c r="V80" s="164" t="s">
        <v>120</v>
      </c>
      <c r="W80" s="164" t="s">
        <v>120</v>
      </c>
      <c r="X80" s="70"/>
    </row>
    <row r="81" spans="1:24" x14ac:dyDescent="0.25">
      <c r="A81" s="10" t="s">
        <v>143</v>
      </c>
      <c r="B81" s="147">
        <f t="shared" si="42"/>
        <v>1.1319134835522382E-2</v>
      </c>
      <c r="C81" s="165"/>
      <c r="D81" s="147">
        <f t="shared" si="43"/>
        <v>7.1327149381672283E-2</v>
      </c>
      <c r="E81" s="147">
        <f t="shared" ref="E81:W81" si="51">(E70/F70)-1</f>
        <v>0.10543732475930279</v>
      </c>
      <c r="F81" s="147">
        <f t="shared" si="51"/>
        <v>9.6589906043427876E-2</v>
      </c>
      <c r="G81" s="147">
        <f t="shared" si="51"/>
        <v>0.12144742630884298</v>
      </c>
      <c r="H81" s="147">
        <f t="shared" si="51"/>
        <v>0.10429596880959013</v>
      </c>
      <c r="I81" s="147">
        <f t="shared" si="51"/>
        <v>6.9468078197051586E-2</v>
      </c>
      <c r="J81" s="147">
        <f t="shared" si="51"/>
        <v>0.11761973200934905</v>
      </c>
      <c r="K81" s="147">
        <f t="shared" si="51"/>
        <v>1.5149952103750808E-2</v>
      </c>
      <c r="L81" s="147">
        <f t="shared" si="51"/>
        <v>2.3847784592867516E-2</v>
      </c>
      <c r="M81" s="147">
        <f t="shared" si="51"/>
        <v>3.6113781863377437E-2</v>
      </c>
      <c r="N81" s="147">
        <f t="shared" si="51"/>
        <v>4.7473614397654851E-2</v>
      </c>
      <c r="O81" s="147">
        <f t="shared" si="51"/>
        <v>6.6329648837899935E-2</v>
      </c>
      <c r="P81" s="147">
        <f t="shared" si="51"/>
        <v>4.0811319211580654E-2</v>
      </c>
      <c r="Q81" s="147">
        <f t="shared" si="51"/>
        <v>3.2802117355558158E-2</v>
      </c>
      <c r="R81" s="147">
        <f t="shared" si="51"/>
        <v>4.0071063908710292E-2</v>
      </c>
      <c r="S81" s="147">
        <f t="shared" si="51"/>
        <v>2.8317038405171635E-2</v>
      </c>
      <c r="T81" s="147">
        <f t="shared" si="51"/>
        <v>9.4687105104115155E-2</v>
      </c>
      <c r="U81" s="147">
        <f t="shared" si="51"/>
        <v>0.11348342102043318</v>
      </c>
      <c r="V81" s="147">
        <f t="shared" si="51"/>
        <v>0.19174686497521143</v>
      </c>
      <c r="W81" s="147">
        <f t="shared" si="51"/>
        <v>0.2290322580645161</v>
      </c>
      <c r="X81" s="72"/>
    </row>
    <row r="82" spans="1:24" x14ac:dyDescent="0.25">
      <c r="C82" s="88"/>
    </row>
    <row r="83" spans="1:24" x14ac:dyDescent="0.25">
      <c r="A83" s="53" t="s">
        <v>273</v>
      </c>
      <c r="B83" s="65"/>
      <c r="C83" s="82"/>
      <c r="D83" s="65"/>
      <c r="E83" s="65"/>
      <c r="F83" s="65"/>
      <c r="G83" s="65"/>
      <c r="H83" s="65"/>
      <c r="I83" s="65"/>
      <c r="J83" s="65"/>
      <c r="K83" s="65"/>
      <c r="L83" s="65"/>
      <c r="M83" s="65"/>
      <c r="N83" s="65"/>
      <c r="O83" s="65"/>
      <c r="P83" s="65"/>
      <c r="Q83" s="65"/>
      <c r="R83" s="65"/>
      <c r="S83" s="65"/>
      <c r="T83" s="65"/>
      <c r="U83" s="65"/>
      <c r="V83" s="65"/>
      <c r="W83" s="65"/>
    </row>
    <row r="84" spans="1:24" x14ac:dyDescent="0.25">
      <c r="A84" s="54" t="s">
        <v>271</v>
      </c>
      <c r="B84" s="65">
        <f>((SUM('Monthly Data Series'!D47:L47)*1000)/AVERAGE('Monthly Data Series'!D15:L15))*(4/3)</f>
        <v>1637.0536639540751</v>
      </c>
      <c r="C84" s="82"/>
      <c r="D84" s="65">
        <f>('Segment Analysis (Annual)'!C35*1000)/AVERAGE(D67:E67)</f>
        <v>1602.4435323856378</v>
      </c>
      <c r="E84" s="65">
        <f>('Segment Analysis (Annual)'!D35*1000)/AVERAGE(E67:F67)</f>
        <v>1598.158840432021</v>
      </c>
      <c r="F84" s="65">
        <f>('Segment Analysis (Annual)'!E35*1000)/AVERAGE(F67:G67)</f>
        <v>1625.6094017369969</v>
      </c>
      <c r="G84" s="65">
        <f>('Segment Analysis (Annual)'!F35*1000)/AVERAGE(G67:H67)</f>
        <v>1538.9439773012753</v>
      </c>
      <c r="H84" s="65">
        <f>('Segment Analysis (Annual)'!G35*1000)/AVERAGE(H67:I67)</f>
        <v>1428.2822958255645</v>
      </c>
      <c r="I84" s="65">
        <f>('Segment Analysis (Annual)'!H35*1000)/AVERAGE(I67:J67)</f>
        <v>1350.2594866562285</v>
      </c>
      <c r="J84" s="65">
        <f>('Segment Analysis (Annual)'!I35*1000)/AVERAGE(J67:K67)</f>
        <v>1279.8132210488927</v>
      </c>
      <c r="K84" s="65">
        <f>('Segment Analysis (Annual)'!J35*1000)/AVERAGE(K67:L67)</f>
        <v>1258.5159375795552</v>
      </c>
      <c r="L84" s="65">
        <f>('Segment Analysis (Annual)'!K35*1000)/AVERAGE(L67:M67)</f>
        <v>1189.654035988322</v>
      </c>
      <c r="M84" s="65">
        <f>('Segment Analysis (Annual)'!L35*1000)/AVERAGE(M67:N67)</f>
        <v>1148.5704921440019</v>
      </c>
      <c r="N84" s="65">
        <f>('Segment Analysis (Annual)'!M35*1000)/AVERAGE(N67:O67)</f>
        <v>1119.8882704854814</v>
      </c>
      <c r="O84" s="65">
        <f>('Segment Analysis (Annual)'!N35*1000)/AVERAGE(O67:P67)</f>
        <v>1132.9532356149502</v>
      </c>
      <c r="P84" s="65">
        <f>('Segment Analysis (Annual)'!O35*1000)/AVERAGE(P67:Q67)</f>
        <v>1155.3946415640842</v>
      </c>
      <c r="Q84" s="65">
        <f>('Segment Analysis (Annual)'!P35*1000)/AVERAGE(Q67:R67)</f>
        <v>1151.3617259055902</v>
      </c>
      <c r="R84" s="65">
        <f>('Segment Analysis (Annual)'!Q35*1000)/AVERAGE(R67:S67)</f>
        <v>1209.5665442898367</v>
      </c>
      <c r="S84" s="65">
        <f>('Segment Analysis (Annual)'!R35*1000)/AVERAGE(S67:T67)</f>
        <v>1272.7773705361553</v>
      </c>
      <c r="T84" s="65">
        <f>('Segment Analysis (Annual)'!S35*1000)/AVERAGE(T67:U67)</f>
        <v>1328.1721992043711</v>
      </c>
      <c r="U84" s="65"/>
      <c r="V84" s="65"/>
      <c r="W84" s="65"/>
    </row>
    <row r="85" spans="1:24" x14ac:dyDescent="0.25">
      <c r="A85" s="11" t="s">
        <v>272</v>
      </c>
      <c r="B85" s="65">
        <f>((SUM('Monthly Data Series'!D48:L48)*1000)/AVERAGE('Monthly Data Series'!D16:L16))*(4/3)</f>
        <v>8870.1251765942761</v>
      </c>
      <c r="C85" s="82"/>
      <c r="D85" s="65">
        <f>('Segment Analysis (Annual)'!C36*1000)/AVERAGE(D68:E68)</f>
        <v>7746.1521302699084</v>
      </c>
      <c r="E85" s="65">
        <f>('Segment Analysis (Annual)'!D36*1000)/AVERAGE(E68:F68)</f>
        <v>6197.7882293123166</v>
      </c>
      <c r="F85" s="65">
        <f>('Segment Analysis (Annual)'!E36*1000)/AVERAGE(F68:G68)</f>
        <v>6114.2028585237867</v>
      </c>
      <c r="G85" s="65">
        <f>('Segment Analysis (Annual)'!F36*1000)/AVERAGE(G68:H68)</f>
        <v>5374.5627744288167</v>
      </c>
      <c r="H85" s="65">
        <f>('Segment Analysis (Annual)'!G36*1000)/AVERAGE(H68:I68)</f>
        <v>4453.4948593289237</v>
      </c>
      <c r="I85" s="65">
        <f>('Segment Analysis (Annual)'!H36*1000)/AVERAGE(I68:J68)</f>
        <v>4161.3817994328438</v>
      </c>
      <c r="J85" s="65">
        <f>('Segment Analysis (Annual)'!I36*1000)/AVERAGE(J68:K68)</f>
        <v>3728.9117234936944</v>
      </c>
      <c r="K85" s="65">
        <f>('Segment Analysis (Annual)'!J36*1000)/AVERAGE(K68:L68)</f>
        <v>3570.3876420868546</v>
      </c>
      <c r="L85" s="65">
        <f>('Segment Analysis (Annual)'!K36*1000)/AVERAGE(L68:M68)</f>
        <v>3406.6911622510152</v>
      </c>
      <c r="M85" s="65">
        <f>('Segment Analysis (Annual)'!L36*1000)/AVERAGE(M68:N68)</f>
        <v>3205.9881403713425</v>
      </c>
      <c r="N85" s="65">
        <f>('Segment Analysis (Annual)'!M36*1000)/AVERAGE(N68:O68)</f>
        <v>2878.0774889651789</v>
      </c>
      <c r="O85" s="65">
        <f>('Segment Analysis (Annual)'!N36*1000)/AVERAGE(O68:P68)</f>
        <v>2881.5480844409699</v>
      </c>
      <c r="P85" s="65">
        <f>('Segment Analysis (Annual)'!O36*1000)/AVERAGE(P68:Q68)</f>
        <v>3085.5350693784458</v>
      </c>
      <c r="Q85" s="65">
        <f>('Segment Analysis (Annual)'!P36*1000)/AVERAGE(Q68:R68)</f>
        <v>3267.5690710179865</v>
      </c>
      <c r="R85" s="65">
        <f>('Segment Analysis (Annual)'!Q36*1000)/AVERAGE(R68:S68)</f>
        <v>3543.5533384497312</v>
      </c>
      <c r="S85" s="65">
        <f>('Segment Analysis (Annual)'!R36*1000)/AVERAGE(S68:T68)</f>
        <v>3812.8474366893147</v>
      </c>
      <c r="T85" s="65">
        <f>('Segment Analysis (Annual)'!S36*1000)/AVERAGE(T68:U68)</f>
        <v>3754.6150382710493</v>
      </c>
      <c r="U85" s="65"/>
      <c r="V85" s="65"/>
      <c r="W85" s="65"/>
    </row>
    <row r="86" spans="1:24" x14ac:dyDescent="0.25">
      <c r="A86" s="11" t="s">
        <v>117</v>
      </c>
      <c r="B86" s="65">
        <f>((SUM('Monthly Data Series'!D49:L49)*1000)/AVERAGE('Monthly Data Series'!D17:L17))*(4/3)</f>
        <v>800.5843912262344</v>
      </c>
      <c r="C86" s="82"/>
      <c r="D86" s="65">
        <f>('Segment Analysis (Annual)'!C37*1000)/AVERAGE(D69:E69)</f>
        <v>776.52739231266389</v>
      </c>
      <c r="E86" s="65">
        <f>('Segment Analysis (Annual)'!D37*1000)/AVERAGE(E69:F69)</f>
        <v>753.52608556492055</v>
      </c>
      <c r="F86" s="65">
        <f>('Segment Analysis (Annual)'!E37*1000)/AVERAGE(F69:G69)</f>
        <v>751.36519595998641</v>
      </c>
      <c r="G86" s="65">
        <f>('Segment Analysis (Annual)'!F37*1000)/AVERAGE(G69:H69)</f>
        <v>757.87181449002412</v>
      </c>
      <c r="H86" s="65">
        <f>('Segment Analysis (Annual)'!G37*1000)/AVERAGE(H69:I69)</f>
        <v>742.45382189517932</v>
      </c>
      <c r="I86" s="65">
        <f>('Segment Analysis (Annual)'!H37*1000)/AVERAGE(I69:J69)</f>
        <v>758.86587078651678</v>
      </c>
      <c r="J86" s="166" t="s">
        <v>120</v>
      </c>
      <c r="K86" s="166" t="s">
        <v>120</v>
      </c>
      <c r="L86" s="166" t="s">
        <v>120</v>
      </c>
      <c r="M86" s="166" t="s">
        <v>120</v>
      </c>
      <c r="N86" s="166" t="s">
        <v>120</v>
      </c>
      <c r="O86" s="166" t="s">
        <v>120</v>
      </c>
      <c r="P86" s="166" t="s">
        <v>120</v>
      </c>
      <c r="Q86" s="166" t="s">
        <v>120</v>
      </c>
      <c r="R86" s="166" t="s">
        <v>120</v>
      </c>
      <c r="S86" s="166" t="s">
        <v>120</v>
      </c>
      <c r="T86" s="166" t="s">
        <v>120</v>
      </c>
      <c r="U86" s="166"/>
      <c r="V86" s="166"/>
      <c r="W86" s="166"/>
    </row>
    <row r="87" spans="1:24" x14ac:dyDescent="0.25">
      <c r="A87" s="10"/>
      <c r="B87" s="65"/>
      <c r="C87" s="82"/>
      <c r="D87" s="65"/>
      <c r="E87" s="65"/>
      <c r="F87" s="65"/>
      <c r="G87" s="65"/>
      <c r="H87" s="65"/>
      <c r="I87" s="65"/>
      <c r="J87" s="65"/>
      <c r="K87" s="65"/>
      <c r="L87" s="65"/>
      <c r="M87" s="65"/>
      <c r="N87" s="65"/>
      <c r="O87" s="65"/>
      <c r="P87" s="65"/>
      <c r="Q87" s="65"/>
      <c r="R87" s="65"/>
      <c r="S87" s="65"/>
      <c r="T87" s="65"/>
      <c r="U87" s="65"/>
      <c r="V87" s="65"/>
      <c r="W87" s="65"/>
    </row>
    <row r="88" spans="1:24" x14ac:dyDescent="0.25">
      <c r="C88" s="88"/>
    </row>
    <row r="89" spans="1:24" x14ac:dyDescent="0.25">
      <c r="C89" s="88"/>
    </row>
    <row r="90" spans="1:24" x14ac:dyDescent="0.25">
      <c r="C90" s="88"/>
    </row>
    <row r="91" spans="1:24" x14ac:dyDescent="0.25">
      <c r="A91" s="151" t="s">
        <v>366</v>
      </c>
      <c r="C91" s="88"/>
    </row>
    <row r="92" spans="1:24" x14ac:dyDescent="0.25">
      <c r="A92" s="53" t="s">
        <v>365</v>
      </c>
      <c r="B92" s="184">
        <f>B7</f>
        <v>868.2</v>
      </c>
      <c r="C92" s="186">
        <f t="shared" ref="C92:X92" si="52">C7</f>
        <v>639.79999999999995</v>
      </c>
      <c r="D92" s="184">
        <f t="shared" si="52"/>
        <v>860.9</v>
      </c>
      <c r="E92" s="184">
        <f t="shared" si="52"/>
        <v>936.6</v>
      </c>
      <c r="F92" s="184">
        <f t="shared" si="52"/>
        <v>1042</v>
      </c>
      <c r="G92" s="184">
        <f t="shared" si="52"/>
        <v>820.5</v>
      </c>
      <c r="H92" s="184">
        <f t="shared" si="52"/>
        <v>563.1</v>
      </c>
      <c r="I92" s="184">
        <f t="shared" si="52"/>
        <v>478.9</v>
      </c>
      <c r="J92" s="184">
        <f t="shared" si="52"/>
        <v>454.6</v>
      </c>
      <c r="K92" s="184">
        <f t="shared" si="52"/>
        <v>408.4</v>
      </c>
      <c r="L92" s="184">
        <f t="shared" si="52"/>
        <v>422</v>
      </c>
      <c r="M92" s="184">
        <f t="shared" si="52"/>
        <v>443</v>
      </c>
      <c r="N92" s="184">
        <f t="shared" si="52"/>
        <v>480</v>
      </c>
      <c r="O92" s="184">
        <f t="shared" si="52"/>
        <v>520.1</v>
      </c>
      <c r="P92" s="184">
        <f t="shared" si="52"/>
        <v>507</v>
      </c>
      <c r="Q92" s="184">
        <f t="shared" si="52"/>
        <v>637.70000000000005</v>
      </c>
      <c r="R92" s="184">
        <f t="shared" si="52"/>
        <v>680.8</v>
      </c>
      <c r="S92" s="184">
        <f t="shared" si="52"/>
        <v>647.79999999999995</v>
      </c>
      <c r="T92" s="184">
        <f t="shared" si="52"/>
        <v>536.70000000000005</v>
      </c>
      <c r="U92" s="184">
        <f t="shared" si="52"/>
        <v>484.4</v>
      </c>
      <c r="V92" s="184">
        <f t="shared" si="52"/>
        <v>465.3</v>
      </c>
      <c r="W92" s="184">
        <f t="shared" si="52"/>
        <v>455.2</v>
      </c>
      <c r="X92" s="184">
        <f t="shared" si="52"/>
        <v>413.6</v>
      </c>
    </row>
    <row r="93" spans="1:24" x14ac:dyDescent="0.25">
      <c r="A93" s="53" t="s">
        <v>213</v>
      </c>
      <c r="B93" s="61"/>
      <c r="C93" s="187"/>
      <c r="D93" s="61"/>
      <c r="E93" s="61"/>
      <c r="F93" s="61"/>
      <c r="G93" s="61"/>
      <c r="H93" s="61"/>
      <c r="I93" s="61"/>
      <c r="J93" s="61"/>
      <c r="K93" s="61"/>
      <c r="L93" s="61"/>
      <c r="M93" s="61"/>
      <c r="N93" s="61"/>
      <c r="O93" s="61"/>
      <c r="P93" s="61"/>
      <c r="Q93" s="61"/>
      <c r="R93" s="61"/>
      <c r="S93" s="61"/>
      <c r="T93" s="61"/>
      <c r="U93" s="61"/>
      <c r="V93" s="61"/>
      <c r="W93" s="61"/>
      <c r="X93" s="61"/>
    </row>
    <row r="94" spans="1:24" x14ac:dyDescent="0.25">
      <c r="A94" s="54" t="s">
        <v>214</v>
      </c>
      <c r="B94" s="61">
        <f>B9</f>
        <v>430</v>
      </c>
      <c r="C94" s="187">
        <f t="shared" ref="C94:X96" si="53">C9</f>
        <v>607.79999999999995</v>
      </c>
      <c r="D94" s="61">
        <f t="shared" si="53"/>
        <v>614.29999999999995</v>
      </c>
      <c r="E94" s="61">
        <f t="shared" si="53"/>
        <v>914.7</v>
      </c>
      <c r="F94" s="61">
        <f t="shared" si="53"/>
        <v>334.6</v>
      </c>
      <c r="G94" s="61">
        <f t="shared" si="53"/>
        <v>170.7</v>
      </c>
      <c r="H94" s="61">
        <f t="shared" si="53"/>
        <v>115.7</v>
      </c>
      <c r="I94" s="61">
        <f t="shared" si="53"/>
        <v>155.80000000000001</v>
      </c>
      <c r="J94" s="61">
        <f t="shared" si="53"/>
        <v>136.5</v>
      </c>
      <c r="K94" s="61">
        <f t="shared" si="53"/>
        <v>232.1</v>
      </c>
      <c r="L94" s="61">
        <f t="shared" si="53"/>
        <v>324.5</v>
      </c>
      <c r="M94" s="61">
        <f t="shared" si="53"/>
        <v>314.8</v>
      </c>
      <c r="N94" s="61">
        <f t="shared" si="53"/>
        <v>108.1</v>
      </c>
      <c r="O94" s="61">
        <f t="shared" si="53"/>
        <v>110</v>
      </c>
      <c r="P94" s="61">
        <f t="shared" si="53"/>
        <v>67.900000000000006</v>
      </c>
      <c r="Q94" s="61">
        <f t="shared" si="53"/>
        <v>-1445.1</v>
      </c>
      <c r="R94" s="61">
        <f t="shared" si="53"/>
        <v>106.3</v>
      </c>
      <c r="S94" s="61">
        <f t="shared" si="53"/>
        <v>-9.6999999999999993</v>
      </c>
      <c r="T94" s="61">
        <f t="shared" si="53"/>
        <v>-37.9</v>
      </c>
      <c r="U94" s="61">
        <f t="shared" si="53"/>
        <v>79.3</v>
      </c>
      <c r="V94" s="61">
        <f t="shared" si="53"/>
        <v>12.7</v>
      </c>
      <c r="W94" s="61">
        <f t="shared" si="53"/>
        <v>-78.599999999999994</v>
      </c>
      <c r="X94" s="61">
        <f t="shared" si="53"/>
        <v>-111.9</v>
      </c>
    </row>
    <row r="95" spans="1:24" x14ac:dyDescent="0.25">
      <c r="A95" s="54" t="s">
        <v>215</v>
      </c>
      <c r="B95" s="61">
        <f t="shared" ref="B95:Q96" si="54">B10</f>
        <v>-2262.9</v>
      </c>
      <c r="C95" s="187">
        <f t="shared" si="54"/>
        <v>479.8</v>
      </c>
      <c r="D95" s="61">
        <f t="shared" si="54"/>
        <v>899.9</v>
      </c>
      <c r="E95" s="61">
        <f t="shared" si="54"/>
        <v>715.3</v>
      </c>
      <c r="F95" s="61">
        <f t="shared" si="54"/>
        <v>757.9</v>
      </c>
      <c r="G95" s="61">
        <f t="shared" si="54"/>
        <v>-507.9</v>
      </c>
      <c r="H95" s="61">
        <f t="shared" si="54"/>
        <v>-1.6</v>
      </c>
      <c r="I95" s="61">
        <f t="shared" si="54"/>
        <v>-17.899999999999999</v>
      </c>
      <c r="J95" s="61">
        <f t="shared" si="54"/>
        <v>0</v>
      </c>
      <c r="K95" s="61">
        <f t="shared" si="54"/>
        <v>0</v>
      </c>
      <c r="L95" s="61">
        <f t="shared" si="54"/>
        <v>0</v>
      </c>
      <c r="M95" s="61">
        <f t="shared" si="54"/>
        <v>0</v>
      </c>
      <c r="N95" s="61">
        <f t="shared" si="54"/>
        <v>0</v>
      </c>
      <c r="O95" s="61">
        <f t="shared" si="54"/>
        <v>0</v>
      </c>
      <c r="P95" s="61">
        <f t="shared" si="54"/>
        <v>0</v>
      </c>
      <c r="Q95" s="61">
        <f t="shared" si="54"/>
        <v>0</v>
      </c>
      <c r="R95" s="61">
        <f t="shared" si="53"/>
        <v>0</v>
      </c>
      <c r="S95" s="61">
        <f t="shared" si="53"/>
        <v>0</v>
      </c>
      <c r="T95" s="61">
        <f t="shared" si="53"/>
        <v>0</v>
      </c>
      <c r="U95" s="61">
        <f t="shared" si="53"/>
        <v>0</v>
      </c>
      <c r="V95" s="61">
        <f t="shared" si="53"/>
        <v>0</v>
      </c>
      <c r="W95" s="61">
        <f t="shared" si="53"/>
        <v>0</v>
      </c>
      <c r="X95" s="61">
        <f t="shared" si="53"/>
        <v>0</v>
      </c>
    </row>
    <row r="96" spans="1:24" x14ac:dyDescent="0.25">
      <c r="A96" s="54" t="s">
        <v>216</v>
      </c>
      <c r="B96" s="61">
        <f t="shared" si="54"/>
        <v>-6.5</v>
      </c>
      <c r="C96" s="187">
        <f t="shared" si="53"/>
        <v>-3.7</v>
      </c>
      <c r="D96" s="61">
        <f t="shared" si="53"/>
        <v>-5</v>
      </c>
      <c r="E96" s="61">
        <f t="shared" si="53"/>
        <v>0</v>
      </c>
      <c r="F96" s="61">
        <f t="shared" si="53"/>
        <v>-63.3</v>
      </c>
      <c r="G96" s="61">
        <f t="shared" si="53"/>
        <v>-68.3</v>
      </c>
      <c r="H96" s="61">
        <f t="shared" si="53"/>
        <v>-64.5</v>
      </c>
      <c r="I96" s="61">
        <f t="shared" si="53"/>
        <v>-86.8</v>
      </c>
      <c r="J96" s="61">
        <f t="shared" si="53"/>
        <v>-23.8</v>
      </c>
      <c r="K96" s="61">
        <f t="shared" si="53"/>
        <v>-7.9</v>
      </c>
      <c r="L96" s="61">
        <f t="shared" si="53"/>
        <v>-6.1</v>
      </c>
      <c r="M96" s="61">
        <f t="shared" si="53"/>
        <v>-8</v>
      </c>
      <c r="N96" s="61">
        <f t="shared" si="53"/>
        <v>-5.5</v>
      </c>
      <c r="O96" s="61">
        <f t="shared" si="53"/>
        <v>-13.9</v>
      </c>
      <c r="P96" s="61">
        <f t="shared" si="53"/>
        <v>-40.799999999999997</v>
      </c>
      <c r="Q96" s="61">
        <f t="shared" si="53"/>
        <v>0</v>
      </c>
      <c r="R96" s="61">
        <f t="shared" si="53"/>
        <v>0</v>
      </c>
      <c r="S96" s="61">
        <f t="shared" si="53"/>
        <v>0</v>
      </c>
      <c r="T96" s="61">
        <f t="shared" si="53"/>
        <v>0</v>
      </c>
      <c r="U96" s="61">
        <f t="shared" si="53"/>
        <v>0</v>
      </c>
      <c r="V96" s="61">
        <f t="shared" si="53"/>
        <v>0</v>
      </c>
      <c r="W96" s="61">
        <f t="shared" si="53"/>
        <v>0</v>
      </c>
      <c r="X96" s="61">
        <f t="shared" si="53"/>
        <v>0</v>
      </c>
    </row>
    <row r="97" spans="1:24" s="53" customFormat="1" x14ac:dyDescent="0.25">
      <c r="A97" s="53" t="s">
        <v>217</v>
      </c>
      <c r="B97" s="185">
        <f>SUM(B94:B96)</f>
        <v>-1839.4</v>
      </c>
      <c r="C97" s="188">
        <f t="shared" ref="C97:X97" si="55">SUM(C94:C96)</f>
        <v>1083.8999999999999</v>
      </c>
      <c r="D97" s="185">
        <f t="shared" si="55"/>
        <v>1509.1999999999998</v>
      </c>
      <c r="E97" s="185">
        <f t="shared" si="55"/>
        <v>1630</v>
      </c>
      <c r="F97" s="185">
        <f t="shared" si="55"/>
        <v>1029.2</v>
      </c>
      <c r="G97" s="185">
        <f t="shared" si="55"/>
        <v>-405.5</v>
      </c>
      <c r="H97" s="185">
        <f t="shared" si="55"/>
        <v>49.600000000000009</v>
      </c>
      <c r="I97" s="185">
        <f t="shared" si="55"/>
        <v>51.100000000000009</v>
      </c>
      <c r="J97" s="185">
        <f t="shared" si="55"/>
        <v>112.7</v>
      </c>
      <c r="K97" s="185">
        <f t="shared" si="55"/>
        <v>224.2</v>
      </c>
      <c r="L97" s="185">
        <f t="shared" si="55"/>
        <v>318.39999999999998</v>
      </c>
      <c r="M97" s="185">
        <f t="shared" si="55"/>
        <v>306.8</v>
      </c>
      <c r="N97" s="185">
        <f t="shared" si="55"/>
        <v>102.6</v>
      </c>
      <c r="O97" s="185">
        <f t="shared" si="55"/>
        <v>96.1</v>
      </c>
      <c r="P97" s="185">
        <f t="shared" si="55"/>
        <v>27.100000000000009</v>
      </c>
      <c r="Q97" s="185">
        <f t="shared" si="55"/>
        <v>-1445.1</v>
      </c>
      <c r="R97" s="185">
        <f t="shared" si="55"/>
        <v>106.3</v>
      </c>
      <c r="S97" s="185">
        <f t="shared" si="55"/>
        <v>-9.6999999999999993</v>
      </c>
      <c r="T97" s="185">
        <f t="shared" si="55"/>
        <v>-37.9</v>
      </c>
      <c r="U97" s="185">
        <f t="shared" si="55"/>
        <v>79.3</v>
      </c>
      <c r="V97" s="185">
        <f t="shared" si="55"/>
        <v>12.7</v>
      </c>
      <c r="W97" s="185">
        <f t="shared" si="55"/>
        <v>-78.599999999999994</v>
      </c>
      <c r="X97" s="185">
        <f t="shared" si="55"/>
        <v>-111.9</v>
      </c>
    </row>
    <row r="98" spans="1:24" s="53" customFormat="1" x14ac:dyDescent="0.25">
      <c r="A98" s="54" t="s">
        <v>367</v>
      </c>
      <c r="B98" s="114">
        <f>-B22</f>
        <v>-17.399999999999999</v>
      </c>
      <c r="C98" s="189">
        <f t="shared" ref="C98:X98" si="56">-C22</f>
        <v>-18.5</v>
      </c>
      <c r="D98" s="114">
        <f t="shared" si="56"/>
        <v>-25.5</v>
      </c>
      <c r="E98" s="114">
        <f t="shared" si="56"/>
        <v>-20</v>
      </c>
      <c r="F98" s="114">
        <f t="shared" si="56"/>
        <v>-24.6</v>
      </c>
      <c r="G98" s="114">
        <f t="shared" si="56"/>
        <v>-24.3</v>
      </c>
      <c r="H98" s="114">
        <f t="shared" si="56"/>
        <v>-23.9</v>
      </c>
      <c r="I98" s="114">
        <f t="shared" si="56"/>
        <v>-22.4</v>
      </c>
      <c r="J98" s="114">
        <f t="shared" si="56"/>
        <v>-22.8</v>
      </c>
      <c r="K98" s="114">
        <f t="shared" si="56"/>
        <v>-18.899999999999999</v>
      </c>
      <c r="L98" s="114">
        <f t="shared" si="56"/>
        <v>-18.8</v>
      </c>
      <c r="M98" s="114">
        <f t="shared" si="56"/>
        <v>-15.4</v>
      </c>
      <c r="N98" s="114">
        <f t="shared" si="56"/>
        <v>-13.5</v>
      </c>
      <c r="O98" s="114">
        <f t="shared" si="56"/>
        <v>-11.9</v>
      </c>
      <c r="P98" s="114">
        <f t="shared" si="56"/>
        <v>-11.1</v>
      </c>
      <c r="Q98" s="114">
        <f t="shared" si="56"/>
        <v>-8.8000000000000007</v>
      </c>
      <c r="R98" s="114">
        <f t="shared" si="56"/>
        <v>-12.4</v>
      </c>
      <c r="S98" s="114">
        <f t="shared" si="56"/>
        <v>-11.9</v>
      </c>
      <c r="T98" s="114">
        <f t="shared" si="56"/>
        <v>-12.1</v>
      </c>
      <c r="U98" s="114">
        <f t="shared" si="56"/>
        <v>-13.9</v>
      </c>
      <c r="V98" s="114">
        <f t="shared" si="56"/>
        <v>-11.5</v>
      </c>
      <c r="W98" s="114">
        <f t="shared" si="56"/>
        <v>-11.5</v>
      </c>
      <c r="X98" s="114">
        <f t="shared" si="56"/>
        <v>-12.7</v>
      </c>
    </row>
    <row r="99" spans="1:24" ht="20" thickBot="1" x14ac:dyDescent="0.3">
      <c r="A99" s="53" t="s">
        <v>368</v>
      </c>
      <c r="B99" s="176">
        <f>B92+B97+B98</f>
        <v>-988.6</v>
      </c>
      <c r="C99" s="190">
        <f t="shared" ref="C99:X99" si="57">C92+C97+C98</f>
        <v>1705.1999999999998</v>
      </c>
      <c r="D99" s="176">
        <f t="shared" si="57"/>
        <v>2344.6</v>
      </c>
      <c r="E99" s="176">
        <f t="shared" si="57"/>
        <v>2546.6</v>
      </c>
      <c r="F99" s="176">
        <f t="shared" si="57"/>
        <v>2046.6</v>
      </c>
      <c r="G99" s="176">
        <f t="shared" si="57"/>
        <v>390.7</v>
      </c>
      <c r="H99" s="176">
        <f t="shared" si="57"/>
        <v>588.80000000000007</v>
      </c>
      <c r="I99" s="176">
        <f t="shared" si="57"/>
        <v>507.6</v>
      </c>
      <c r="J99" s="176">
        <f t="shared" si="57"/>
        <v>544.50000000000011</v>
      </c>
      <c r="K99" s="176">
        <f t="shared" si="57"/>
        <v>613.69999999999993</v>
      </c>
      <c r="L99" s="176">
        <f t="shared" si="57"/>
        <v>721.6</v>
      </c>
      <c r="M99" s="176">
        <f t="shared" si="57"/>
        <v>734.4</v>
      </c>
      <c r="N99" s="176">
        <f t="shared" si="57"/>
        <v>569.1</v>
      </c>
      <c r="O99" s="176">
        <f t="shared" si="57"/>
        <v>604.30000000000007</v>
      </c>
      <c r="P99" s="176">
        <f t="shared" si="57"/>
        <v>523</v>
      </c>
      <c r="Q99" s="176">
        <f t="shared" si="57"/>
        <v>-816.19999999999982</v>
      </c>
      <c r="R99" s="176">
        <f t="shared" si="57"/>
        <v>774.69999999999993</v>
      </c>
      <c r="S99" s="176">
        <f t="shared" si="57"/>
        <v>626.19999999999993</v>
      </c>
      <c r="T99" s="176">
        <f t="shared" si="57"/>
        <v>486.70000000000005</v>
      </c>
      <c r="U99" s="176">
        <f t="shared" si="57"/>
        <v>549.79999999999995</v>
      </c>
      <c r="V99" s="176">
        <f t="shared" si="57"/>
        <v>466.5</v>
      </c>
      <c r="W99" s="176">
        <f t="shared" si="57"/>
        <v>365.1</v>
      </c>
      <c r="X99" s="176">
        <f t="shared" si="57"/>
        <v>289.00000000000006</v>
      </c>
    </row>
    <row r="100" spans="1:24" ht="20" thickTop="1" x14ac:dyDescent="0.25">
      <c r="C100" s="163"/>
    </row>
    <row r="101" spans="1:24" ht="40" x14ac:dyDescent="0.25">
      <c r="A101" s="191" t="s">
        <v>369</v>
      </c>
      <c r="B101" s="192">
        <f>B34</f>
        <v>-3170</v>
      </c>
      <c r="C101" s="193">
        <f t="shared" ref="C101:X101" si="58">C34</f>
        <v>-578.29999999999995</v>
      </c>
      <c r="D101" s="192">
        <f t="shared" si="58"/>
        <v>-891.1</v>
      </c>
      <c r="E101" s="192">
        <f t="shared" si="58"/>
        <v>586.5</v>
      </c>
      <c r="F101" s="192">
        <f t="shared" si="58"/>
        <v>466.4</v>
      </c>
      <c r="G101" s="192">
        <f t="shared" si="58"/>
        <v>-99.3</v>
      </c>
      <c r="H101" s="192">
        <f t="shared" si="58"/>
        <v>355.4</v>
      </c>
      <c r="I101" s="192">
        <f t="shared" si="58"/>
        <v>130.6</v>
      </c>
      <c r="J101" s="192">
        <f t="shared" si="58"/>
        <v>-212.9</v>
      </c>
      <c r="K101" s="192">
        <f t="shared" si="58"/>
        <v>74.900000000000006</v>
      </c>
      <c r="L101" s="192">
        <f t="shared" si="58"/>
        <v>84.3</v>
      </c>
      <c r="M101" s="192">
        <f t="shared" si="58"/>
        <v>179.9</v>
      </c>
      <c r="N101" s="192">
        <f t="shared" si="58"/>
        <v>-84.5</v>
      </c>
      <c r="O101" s="192">
        <f t="shared" si="58"/>
        <v>337.1</v>
      </c>
      <c r="P101" s="192">
        <f t="shared" si="58"/>
        <v>696.6</v>
      </c>
      <c r="Q101" s="192">
        <f t="shared" si="58"/>
        <v>-541.79999999999995</v>
      </c>
      <c r="R101" s="192">
        <f t="shared" si="58"/>
        <v>-131.80000000000001</v>
      </c>
      <c r="S101" s="192">
        <f t="shared" si="58"/>
        <v>206.7</v>
      </c>
      <c r="T101" s="192">
        <f t="shared" si="58"/>
        <v>-45</v>
      </c>
      <c r="U101" s="192">
        <f t="shared" si="58"/>
        <v>16.899999999999999</v>
      </c>
      <c r="V101" s="192">
        <f t="shared" si="58"/>
        <v>255.8</v>
      </c>
      <c r="W101" s="192">
        <f t="shared" si="58"/>
        <v>40.9</v>
      </c>
      <c r="X101" s="192">
        <f t="shared" si="58"/>
        <v>52</v>
      </c>
    </row>
    <row r="102" spans="1:24" x14ac:dyDescent="0.2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row>
  </sheetData>
  <mergeCells count="5">
    <mergeCell ref="A3:A4"/>
    <mergeCell ref="B3:C3"/>
    <mergeCell ref="B55:C55"/>
    <mergeCell ref="O55:X55"/>
    <mergeCell ref="D3:X3"/>
  </mergeCells>
  <pageMargins left="0.7" right="0.7" top="0.75" bottom="0.75" header="0.3" footer="0.3"/>
  <pageSetup orientation="portrait" r:id="rId1"/>
  <ignoredErrors>
    <ignoredError sqref="E85:T85 E86:I86 D85:D86 B85:B86"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FBC8F-F8F7-5146-BCAC-3EF40CEFA757}">
  <sheetPr>
    <tabColor theme="3" tint="0.79998168889431442"/>
  </sheetPr>
  <dimension ref="A1:N95"/>
  <sheetViews>
    <sheetView zoomScaleNormal="100" workbookViewId="0"/>
  </sheetViews>
  <sheetFormatPr baseColWidth="10" defaultColWidth="9.1640625" defaultRowHeight="19" x14ac:dyDescent="0.25"/>
  <cols>
    <col min="1" max="1" width="59.83203125" style="54" customWidth="1"/>
    <col min="2" max="13" width="14.83203125" style="54" customWidth="1"/>
    <col min="14" max="14" width="19.1640625" style="57" customWidth="1"/>
    <col min="15" max="16384" width="9.1640625" style="54"/>
  </cols>
  <sheetData>
    <row r="1" spans="1:14" ht="24" x14ac:dyDescent="0.3">
      <c r="A1" s="19" t="s">
        <v>274</v>
      </c>
      <c r="B1" s="85"/>
      <c r="C1" s="85"/>
      <c r="D1" s="85"/>
      <c r="E1" s="85"/>
      <c r="F1" s="53"/>
      <c r="G1" s="53"/>
      <c r="H1" s="53"/>
      <c r="I1" s="53"/>
      <c r="J1" s="53"/>
      <c r="K1" s="53"/>
      <c r="L1" s="53"/>
      <c r="M1" s="53"/>
    </row>
    <row r="2" spans="1:14" x14ac:dyDescent="0.25">
      <c r="A2" s="55" t="s">
        <v>275</v>
      </c>
      <c r="B2" s="55"/>
      <c r="C2" s="55"/>
      <c r="D2" s="55"/>
      <c r="E2" s="55"/>
      <c r="F2" s="55"/>
      <c r="G2" s="55"/>
      <c r="H2" s="55"/>
    </row>
    <row r="3" spans="1:14" x14ac:dyDescent="0.25">
      <c r="A3" s="196" t="s">
        <v>36</v>
      </c>
      <c r="B3" s="197" t="s">
        <v>210</v>
      </c>
      <c r="C3" s="198"/>
      <c r="D3" s="202" t="s">
        <v>209</v>
      </c>
      <c r="E3" s="202"/>
      <c r="F3" s="202"/>
      <c r="G3" s="202"/>
      <c r="H3" s="202"/>
      <c r="I3" s="202"/>
      <c r="J3" s="202"/>
      <c r="K3" s="202"/>
      <c r="L3" s="202"/>
      <c r="M3" s="202"/>
      <c r="N3" s="169" t="s">
        <v>332</v>
      </c>
    </row>
    <row r="4" spans="1:14" x14ac:dyDescent="0.25">
      <c r="A4" s="196"/>
      <c r="B4" s="181">
        <v>44834</v>
      </c>
      <c r="C4" s="182">
        <v>44469</v>
      </c>
      <c r="D4" s="4">
        <v>2021</v>
      </c>
      <c r="E4" s="4">
        <v>2020</v>
      </c>
      <c r="F4" s="4">
        <v>2019</v>
      </c>
      <c r="G4" s="4">
        <v>2018</v>
      </c>
      <c r="H4" s="4">
        <v>2017</v>
      </c>
      <c r="I4" s="4">
        <v>2016</v>
      </c>
      <c r="J4" s="4">
        <v>2015</v>
      </c>
      <c r="K4" s="4">
        <v>2014</v>
      </c>
      <c r="L4" s="4">
        <v>2013</v>
      </c>
      <c r="M4" s="4">
        <v>2012</v>
      </c>
      <c r="N4" s="170" t="s">
        <v>331</v>
      </c>
    </row>
    <row r="5" spans="1:14" x14ac:dyDescent="0.25">
      <c r="A5" s="53" t="s">
        <v>295</v>
      </c>
      <c r="B5" s="62"/>
      <c r="C5" s="80"/>
      <c r="D5" s="62"/>
      <c r="E5" s="62"/>
      <c r="F5" s="62"/>
      <c r="G5" s="62"/>
      <c r="H5" s="62"/>
      <c r="I5" s="62"/>
      <c r="J5" s="62"/>
      <c r="K5" s="62"/>
      <c r="L5" s="62"/>
      <c r="M5" s="62"/>
      <c r="N5" s="171"/>
    </row>
    <row r="6" spans="1:14" s="53" customFormat="1" x14ac:dyDescent="0.25">
      <c r="A6" s="53" t="s">
        <v>276</v>
      </c>
      <c r="B6" s="62">
        <v>-104.9</v>
      </c>
      <c r="C6" s="80">
        <v>2388.6</v>
      </c>
      <c r="D6" s="62">
        <v>3350.9</v>
      </c>
      <c r="E6" s="62">
        <v>5704.6</v>
      </c>
      <c r="F6" s="62">
        <v>3980</v>
      </c>
      <c r="G6" s="62">
        <v>2621</v>
      </c>
      <c r="H6" s="62">
        <v>1598.1</v>
      </c>
      <c r="I6" s="62">
        <v>1057.2</v>
      </c>
      <c r="J6" s="62">
        <v>1300.5</v>
      </c>
      <c r="K6" s="62">
        <v>1281</v>
      </c>
      <c r="L6" s="62">
        <v>1165.4000000000001</v>
      </c>
      <c r="M6" s="62">
        <v>902.3</v>
      </c>
      <c r="N6" s="172">
        <f>SUM(D6:M6)+B6</f>
        <v>22856.1</v>
      </c>
    </row>
    <row r="7" spans="1:14" ht="38" customHeight="1" x14ac:dyDescent="0.25">
      <c r="A7" s="167" t="s">
        <v>277</v>
      </c>
      <c r="B7" s="57"/>
      <c r="C7" s="77"/>
      <c r="D7" s="57"/>
      <c r="E7" s="57"/>
      <c r="F7" s="57"/>
      <c r="G7" s="57"/>
      <c r="H7" s="57"/>
      <c r="I7" s="57"/>
      <c r="J7" s="57"/>
      <c r="K7" s="57"/>
      <c r="L7" s="57"/>
      <c r="M7" s="57"/>
      <c r="N7" s="171"/>
    </row>
    <row r="8" spans="1:14" x14ac:dyDescent="0.25">
      <c r="A8" s="54" t="s">
        <v>278</v>
      </c>
      <c r="B8" s="57">
        <v>227.5</v>
      </c>
      <c r="C8" s="77">
        <v>203.9</v>
      </c>
      <c r="D8" s="57">
        <v>279.7</v>
      </c>
      <c r="E8" s="57">
        <v>274.89999999999998</v>
      </c>
      <c r="F8" s="57">
        <v>239.8</v>
      </c>
      <c r="G8" s="57">
        <v>190.4</v>
      </c>
      <c r="H8" s="57">
        <v>169.9</v>
      </c>
      <c r="I8" s="57">
        <v>137.4</v>
      </c>
      <c r="J8" s="57">
        <v>103.7</v>
      </c>
      <c r="K8" s="57">
        <v>97.1</v>
      </c>
      <c r="L8" s="57">
        <v>101.3</v>
      </c>
      <c r="M8" s="57">
        <v>94.4</v>
      </c>
      <c r="N8" s="171">
        <f>SUM(D8:M8)+B8</f>
        <v>1916.1</v>
      </c>
    </row>
    <row r="9" spans="1:14" x14ac:dyDescent="0.25">
      <c r="A9" s="54" t="s">
        <v>279</v>
      </c>
      <c r="B9" s="57">
        <v>25.5</v>
      </c>
      <c r="C9" s="77">
        <v>43.1</v>
      </c>
      <c r="D9" s="57">
        <v>57.7</v>
      </c>
      <c r="E9" s="57">
        <v>56.9</v>
      </c>
      <c r="F9" s="57">
        <v>66.3</v>
      </c>
      <c r="G9" s="57">
        <v>72</v>
      </c>
      <c r="H9" s="57">
        <v>66.2</v>
      </c>
      <c r="I9" s="57">
        <v>62.1</v>
      </c>
      <c r="J9" s="57">
        <v>46.8</v>
      </c>
      <c r="K9" s="57">
        <v>0</v>
      </c>
      <c r="L9" s="57">
        <v>0</v>
      </c>
      <c r="M9" s="57">
        <v>0</v>
      </c>
      <c r="N9" s="171">
        <f t="shared" ref="N9:N26" si="0">SUM(D9:M9)+B9</f>
        <v>453.5</v>
      </c>
    </row>
    <row r="10" spans="1:14" x14ac:dyDescent="0.25">
      <c r="A10" s="54" t="s">
        <v>280</v>
      </c>
      <c r="B10" s="57">
        <v>1.6</v>
      </c>
      <c r="C10" s="77">
        <v>97.2</v>
      </c>
      <c r="D10" s="57">
        <v>130.30000000000001</v>
      </c>
      <c r="E10" s="57">
        <v>100.9</v>
      </c>
      <c r="F10" s="57">
        <v>33.299999999999997</v>
      </c>
      <c r="G10" s="57">
        <v>34.299999999999997</v>
      </c>
      <c r="H10" s="57">
        <v>86.2</v>
      </c>
      <c r="I10" s="57">
        <v>77.2</v>
      </c>
      <c r="J10" s="57">
        <v>98.4</v>
      </c>
      <c r="K10" s="57">
        <v>78.2</v>
      </c>
      <c r="L10" s="57">
        <v>134</v>
      </c>
      <c r="M10" s="57">
        <v>186.7</v>
      </c>
      <c r="N10" s="171">
        <f t="shared" si="0"/>
        <v>961.1</v>
      </c>
    </row>
    <row r="11" spans="1:14" x14ac:dyDescent="0.25">
      <c r="A11" s="54" t="s">
        <v>281</v>
      </c>
      <c r="B11" s="57">
        <v>69.7</v>
      </c>
      <c r="C11" s="77">
        <v>68.7</v>
      </c>
      <c r="D11" s="57">
        <v>100.7</v>
      </c>
      <c r="E11" s="57">
        <v>89.4</v>
      </c>
      <c r="F11" s="57">
        <v>90.2</v>
      </c>
      <c r="G11" s="57">
        <v>77.2</v>
      </c>
      <c r="H11" s="57">
        <v>95.4</v>
      </c>
      <c r="I11" s="57">
        <v>85.2</v>
      </c>
      <c r="J11" s="57">
        <v>66.2</v>
      </c>
      <c r="K11" s="57">
        <v>51.4</v>
      </c>
      <c r="L11" s="57">
        <v>64.900000000000006</v>
      </c>
      <c r="M11" s="57">
        <v>63.4</v>
      </c>
      <c r="N11" s="171">
        <f t="shared" si="0"/>
        <v>853.7</v>
      </c>
    </row>
    <row r="12" spans="1:14" x14ac:dyDescent="0.25">
      <c r="A12" s="54" t="s">
        <v>282</v>
      </c>
      <c r="B12" s="57">
        <v>1839.4</v>
      </c>
      <c r="C12" s="77">
        <v>-1083.9000000000001</v>
      </c>
      <c r="D12" s="57">
        <v>-1509.2</v>
      </c>
      <c r="E12" s="57">
        <v>-1630</v>
      </c>
      <c r="F12" s="57">
        <v>-1029.2</v>
      </c>
      <c r="G12" s="57">
        <v>405.5</v>
      </c>
      <c r="H12" s="57">
        <v>-49.6</v>
      </c>
      <c r="I12" s="57">
        <v>-51.1</v>
      </c>
      <c r="J12" s="57">
        <v>-112.7</v>
      </c>
      <c r="K12" s="57">
        <v>-224.2</v>
      </c>
      <c r="L12" s="57">
        <v>-318.39999999999998</v>
      </c>
      <c r="M12" s="57">
        <v>-306.8</v>
      </c>
      <c r="N12" s="171">
        <f t="shared" si="0"/>
        <v>-2986.2999999999988</v>
      </c>
    </row>
    <row r="13" spans="1:14" x14ac:dyDescent="0.25">
      <c r="A13" s="54" t="s">
        <v>283</v>
      </c>
      <c r="B13" s="57">
        <v>5.3</v>
      </c>
      <c r="C13" s="77">
        <v>-4</v>
      </c>
      <c r="D13" s="57">
        <v>-3.6</v>
      </c>
      <c r="E13" s="57">
        <v>12.5</v>
      </c>
      <c r="F13" s="57">
        <v>11</v>
      </c>
      <c r="G13" s="57">
        <v>32.1</v>
      </c>
      <c r="H13" s="57">
        <v>7.2</v>
      </c>
      <c r="I13" s="57">
        <v>6.6</v>
      </c>
      <c r="J13" s="57">
        <v>2</v>
      </c>
      <c r="K13" s="57">
        <v>5.4</v>
      </c>
      <c r="L13" s="57">
        <v>5.6</v>
      </c>
      <c r="M13" s="57">
        <v>7.1</v>
      </c>
      <c r="N13" s="171">
        <f t="shared" si="0"/>
        <v>91.199999999999989</v>
      </c>
    </row>
    <row r="14" spans="1:14" x14ac:dyDescent="0.25">
      <c r="A14" s="54" t="s">
        <v>330</v>
      </c>
      <c r="B14" s="57">
        <v>224.8</v>
      </c>
      <c r="C14" s="77">
        <v>0</v>
      </c>
      <c r="D14" s="57">
        <v>0</v>
      </c>
      <c r="E14" s="57">
        <v>0</v>
      </c>
      <c r="F14" s="57">
        <v>0</v>
      </c>
      <c r="G14" s="57">
        <v>0</v>
      </c>
      <c r="H14" s="57">
        <v>0</v>
      </c>
      <c r="I14" s="57">
        <v>0</v>
      </c>
      <c r="J14" s="57">
        <v>0</v>
      </c>
      <c r="K14" s="57">
        <v>0</v>
      </c>
      <c r="L14" s="57">
        <v>0</v>
      </c>
      <c r="M14" s="57">
        <v>0</v>
      </c>
      <c r="N14" s="171">
        <f t="shared" si="0"/>
        <v>224.8</v>
      </c>
    </row>
    <row r="15" spans="1:14" x14ac:dyDescent="0.25">
      <c r="A15" s="54" t="s">
        <v>323</v>
      </c>
      <c r="B15" s="57">
        <v>0</v>
      </c>
      <c r="C15" s="77">
        <v>0</v>
      </c>
      <c r="D15" s="57">
        <v>0</v>
      </c>
      <c r="E15" s="57">
        <v>0</v>
      </c>
      <c r="F15" s="57">
        <v>0</v>
      </c>
      <c r="G15" s="57">
        <v>0</v>
      </c>
      <c r="H15" s="57">
        <v>1</v>
      </c>
      <c r="I15" s="57">
        <v>-1.6</v>
      </c>
      <c r="J15" s="57">
        <v>0.9</v>
      </c>
      <c r="K15" s="57">
        <v>4.8</v>
      </c>
      <c r="L15" s="57">
        <v>4.3</v>
      </c>
      <c r="M15" s="57">
        <v>1.8</v>
      </c>
      <c r="N15" s="171">
        <f t="shared" si="0"/>
        <v>11.2</v>
      </c>
    </row>
    <row r="16" spans="1:14" x14ac:dyDescent="0.25">
      <c r="A16" s="54" t="s">
        <v>326</v>
      </c>
      <c r="B16" s="57">
        <v>0</v>
      </c>
      <c r="C16" s="77">
        <v>0</v>
      </c>
      <c r="D16" s="57">
        <v>0</v>
      </c>
      <c r="E16" s="57">
        <v>0</v>
      </c>
      <c r="F16" s="57">
        <v>0</v>
      </c>
      <c r="G16" s="57">
        <v>0</v>
      </c>
      <c r="H16" s="57">
        <v>0</v>
      </c>
      <c r="I16" s="57">
        <v>4.5</v>
      </c>
      <c r="J16" s="57">
        <v>0</v>
      </c>
      <c r="K16" s="57">
        <v>0</v>
      </c>
      <c r="L16" s="57">
        <v>0</v>
      </c>
      <c r="M16" s="57">
        <v>0</v>
      </c>
      <c r="N16" s="171">
        <f t="shared" si="0"/>
        <v>4.5</v>
      </c>
    </row>
    <row r="17" spans="1:14" x14ac:dyDescent="0.25">
      <c r="A17" s="54" t="s">
        <v>284</v>
      </c>
      <c r="B17" s="57"/>
      <c r="C17" s="77"/>
      <c r="D17" s="57"/>
      <c r="E17" s="57"/>
      <c r="F17" s="57"/>
      <c r="G17" s="57"/>
      <c r="H17" s="57"/>
      <c r="I17" s="57"/>
      <c r="J17" s="57"/>
      <c r="K17" s="57"/>
      <c r="L17" s="57"/>
      <c r="M17" s="57"/>
      <c r="N17" s="171">
        <f t="shared" si="0"/>
        <v>0</v>
      </c>
    </row>
    <row r="18" spans="1:14" x14ac:dyDescent="0.25">
      <c r="A18" s="54" t="s">
        <v>285</v>
      </c>
      <c r="B18" s="57">
        <v>-1468.2</v>
      </c>
      <c r="C18" s="77">
        <v>-1994</v>
      </c>
      <c r="D18" s="57">
        <v>-1146.8</v>
      </c>
      <c r="E18" s="57">
        <v>-652.79999999999995</v>
      </c>
      <c r="F18" s="57">
        <v>-1010.2</v>
      </c>
      <c r="G18" s="57">
        <v>-1074.5999999999999</v>
      </c>
      <c r="H18" s="57">
        <v>-913.2</v>
      </c>
      <c r="I18" s="57">
        <v>-518.5</v>
      </c>
      <c r="J18" s="57">
        <v>-421.1</v>
      </c>
      <c r="K18" s="57">
        <v>-227.1</v>
      </c>
      <c r="L18" s="57">
        <v>-127.4</v>
      </c>
      <c r="M18" s="57">
        <v>-253.8</v>
      </c>
      <c r="N18" s="171">
        <f t="shared" si="0"/>
        <v>-7813.7000000000007</v>
      </c>
    </row>
    <row r="19" spans="1:14" x14ac:dyDescent="0.25">
      <c r="A19" s="54" t="s">
        <v>286</v>
      </c>
      <c r="B19" s="57">
        <v>-1326.3</v>
      </c>
      <c r="C19" s="77">
        <v>-573.1</v>
      </c>
      <c r="D19" s="57">
        <v>-508.7</v>
      </c>
      <c r="E19" s="57">
        <v>-640.5</v>
      </c>
      <c r="F19" s="57">
        <v>-682.8</v>
      </c>
      <c r="G19" s="57">
        <v>-422.7</v>
      </c>
      <c r="H19" s="57">
        <v>-388.6</v>
      </c>
      <c r="I19" s="57">
        <v>-388.2</v>
      </c>
      <c r="J19" s="57">
        <v>-202.6</v>
      </c>
      <c r="K19" s="57">
        <v>-141.69999999999999</v>
      </c>
      <c r="L19" s="57">
        <v>-189.2</v>
      </c>
      <c r="M19" s="57">
        <v>-83</v>
      </c>
      <c r="N19" s="171">
        <f t="shared" si="0"/>
        <v>-4974.2999999999993</v>
      </c>
    </row>
    <row r="20" spans="1:14" x14ac:dyDescent="0.25">
      <c r="A20" s="54" t="s">
        <v>287</v>
      </c>
      <c r="B20" s="57">
        <v>90.1</v>
      </c>
      <c r="C20" s="77">
        <v>-278.39999999999998</v>
      </c>
      <c r="D20" s="57">
        <v>-74.900000000000006</v>
      </c>
      <c r="E20" s="57">
        <v>258.39999999999998</v>
      </c>
      <c r="F20" s="57">
        <v>-316.8</v>
      </c>
      <c r="G20" s="57">
        <v>-106.4</v>
      </c>
      <c r="H20" s="57">
        <v>-32.799999999999997</v>
      </c>
      <c r="I20" s="57">
        <v>48.8</v>
      </c>
      <c r="J20" s="57">
        <v>32.5</v>
      </c>
      <c r="K20" s="57">
        <v>-10.4</v>
      </c>
      <c r="L20" s="57">
        <v>-8.6</v>
      </c>
      <c r="M20" s="57">
        <v>3.5</v>
      </c>
      <c r="N20" s="171">
        <f t="shared" si="0"/>
        <v>-116.60000000000005</v>
      </c>
    </row>
    <row r="21" spans="1:14" x14ac:dyDescent="0.25">
      <c r="A21" s="54" t="s">
        <v>288</v>
      </c>
      <c r="B21" s="57">
        <v>-229.6</v>
      </c>
      <c r="C21" s="77">
        <v>-193.5</v>
      </c>
      <c r="D21" s="57">
        <v>-118.4</v>
      </c>
      <c r="E21" s="57">
        <v>-180.7</v>
      </c>
      <c r="F21" s="57">
        <v>-104.9</v>
      </c>
      <c r="G21" s="57">
        <v>-171.1</v>
      </c>
      <c r="H21" s="57">
        <v>-129.30000000000001</v>
      </c>
      <c r="I21" s="57">
        <v>-103.8</v>
      </c>
      <c r="J21" s="57">
        <v>-42.3</v>
      </c>
      <c r="K21" s="57">
        <v>-9.6</v>
      </c>
      <c r="L21" s="57">
        <v>-13.1</v>
      </c>
      <c r="M21" s="57">
        <v>-0.9</v>
      </c>
      <c r="N21" s="171">
        <f t="shared" si="0"/>
        <v>-1103.7</v>
      </c>
    </row>
    <row r="22" spans="1:14" x14ac:dyDescent="0.25">
      <c r="A22" s="54" t="s">
        <v>289</v>
      </c>
      <c r="B22" s="57">
        <v>-591.6</v>
      </c>
      <c r="C22" s="77">
        <v>-156.19999999999999</v>
      </c>
      <c r="D22" s="57">
        <v>-86</v>
      </c>
      <c r="E22" s="57">
        <v>-23.1</v>
      </c>
      <c r="F22" s="57">
        <v>227.2</v>
      </c>
      <c r="G22" s="57">
        <v>-158.69999999999999</v>
      </c>
      <c r="H22" s="57">
        <v>-172.6</v>
      </c>
      <c r="I22" s="57">
        <v>-55.7</v>
      </c>
      <c r="J22" s="57">
        <v>-107.2</v>
      </c>
      <c r="K22" s="57">
        <v>97.5</v>
      </c>
      <c r="L22" s="57">
        <v>57.8</v>
      </c>
      <c r="M22" s="57">
        <v>19.8</v>
      </c>
      <c r="N22" s="171">
        <f t="shared" si="0"/>
        <v>-792.59999999999991</v>
      </c>
    </row>
    <row r="23" spans="1:14" x14ac:dyDescent="0.25">
      <c r="A23" s="54" t="s">
        <v>290</v>
      </c>
      <c r="B23" s="57">
        <v>2181.1</v>
      </c>
      <c r="C23" s="77">
        <v>3167</v>
      </c>
      <c r="D23" s="57">
        <v>2111.4</v>
      </c>
      <c r="E23" s="57">
        <v>1048.7</v>
      </c>
      <c r="F23" s="57">
        <v>1702.3</v>
      </c>
      <c r="G23" s="57">
        <v>1783</v>
      </c>
      <c r="H23" s="57">
        <v>1434.9</v>
      </c>
      <c r="I23" s="57">
        <v>830.7</v>
      </c>
      <c r="J23" s="57">
        <v>632.4</v>
      </c>
      <c r="K23" s="57">
        <v>266.39999999999998</v>
      </c>
      <c r="L23" s="57">
        <v>244.8</v>
      </c>
      <c r="M23" s="57">
        <v>351.1</v>
      </c>
      <c r="N23" s="171">
        <f t="shared" si="0"/>
        <v>12586.800000000001</v>
      </c>
    </row>
    <row r="24" spans="1:14" x14ac:dyDescent="0.25">
      <c r="A24" s="54" t="s">
        <v>291</v>
      </c>
      <c r="B24" s="57">
        <v>4467.7</v>
      </c>
      <c r="C24" s="77">
        <v>4511.7</v>
      </c>
      <c r="D24" s="57">
        <v>4752.8</v>
      </c>
      <c r="E24" s="57">
        <v>2160.4</v>
      </c>
      <c r="F24" s="57">
        <v>2704.6</v>
      </c>
      <c r="G24" s="57">
        <v>2313.9</v>
      </c>
      <c r="H24" s="57">
        <v>1718.8</v>
      </c>
      <c r="I24" s="57">
        <v>1323.2</v>
      </c>
      <c r="J24" s="57">
        <v>917.7</v>
      </c>
      <c r="K24" s="57">
        <v>378</v>
      </c>
      <c r="L24" s="57">
        <v>641.6</v>
      </c>
      <c r="M24" s="57">
        <v>592.6</v>
      </c>
      <c r="N24" s="171">
        <f t="shared" si="0"/>
        <v>21971.3</v>
      </c>
    </row>
    <row r="25" spans="1:14" x14ac:dyDescent="0.25">
      <c r="A25" s="54" t="s">
        <v>292</v>
      </c>
      <c r="B25" s="57">
        <v>546.5</v>
      </c>
      <c r="C25" s="77">
        <v>1033</v>
      </c>
      <c r="D25" s="57">
        <v>399.7</v>
      </c>
      <c r="E25" s="57">
        <v>328.9</v>
      </c>
      <c r="F25" s="57">
        <v>611.6</v>
      </c>
      <c r="G25" s="57">
        <v>746.6</v>
      </c>
      <c r="H25" s="57">
        <v>400</v>
      </c>
      <c r="I25" s="57">
        <v>308.89999999999998</v>
      </c>
      <c r="J25" s="57">
        <v>37.9</v>
      </c>
      <c r="K25" s="57">
        <v>92</v>
      </c>
      <c r="L25" s="57">
        <v>165</v>
      </c>
      <c r="M25" s="57">
        <v>123.6</v>
      </c>
      <c r="N25" s="171">
        <f t="shared" si="0"/>
        <v>3760.7</v>
      </c>
    </row>
    <row r="26" spans="1:14" x14ac:dyDescent="0.25">
      <c r="A26" s="54" t="s">
        <v>293</v>
      </c>
      <c r="B26" s="57">
        <v>-39.4</v>
      </c>
      <c r="C26" s="77">
        <v>79.5</v>
      </c>
      <c r="D26" s="57">
        <v>26.1</v>
      </c>
      <c r="E26" s="57">
        <v>-2.9</v>
      </c>
      <c r="F26" s="57">
        <v>-260.8</v>
      </c>
      <c r="G26" s="57">
        <v>-57.7</v>
      </c>
      <c r="H26" s="57">
        <v>-134.80000000000001</v>
      </c>
      <c r="I26" s="57">
        <v>-90.2</v>
      </c>
      <c r="J26" s="57">
        <v>-60.2</v>
      </c>
      <c r="K26" s="57">
        <v>-13.2</v>
      </c>
      <c r="L26" s="57">
        <v>-28.1</v>
      </c>
      <c r="M26" s="57">
        <v>-10.4</v>
      </c>
      <c r="N26" s="171">
        <f t="shared" si="0"/>
        <v>-671.60000000000014</v>
      </c>
    </row>
    <row r="27" spans="1:14" x14ac:dyDescent="0.25">
      <c r="A27" s="53" t="s">
        <v>294</v>
      </c>
      <c r="B27" s="73">
        <f>SUM(B6:B26)</f>
        <v>5919.2000000000007</v>
      </c>
      <c r="C27" s="79">
        <f t="shared" ref="C27:N27" si="1">SUM(C6:C26)</f>
        <v>7309.5999999999995</v>
      </c>
      <c r="D27" s="73">
        <f t="shared" si="1"/>
        <v>7761.7</v>
      </c>
      <c r="E27" s="73">
        <f t="shared" si="1"/>
        <v>6905.5999999999985</v>
      </c>
      <c r="F27" s="73">
        <f t="shared" si="1"/>
        <v>6261.6000000000013</v>
      </c>
      <c r="G27" s="73">
        <f t="shared" si="1"/>
        <v>6284.8</v>
      </c>
      <c r="H27" s="73">
        <f t="shared" si="1"/>
        <v>3756.8</v>
      </c>
      <c r="I27" s="73">
        <f t="shared" si="1"/>
        <v>2732.7000000000003</v>
      </c>
      <c r="J27" s="73">
        <f t="shared" si="1"/>
        <v>2292.9000000000005</v>
      </c>
      <c r="K27" s="73">
        <f t="shared" si="1"/>
        <v>1725.6000000000001</v>
      </c>
      <c r="L27" s="73">
        <f t="shared" si="1"/>
        <v>1899.9</v>
      </c>
      <c r="M27" s="73">
        <f t="shared" si="1"/>
        <v>1691.3999999999996</v>
      </c>
      <c r="N27" s="173">
        <f t="shared" si="1"/>
        <v>47232.19999999999</v>
      </c>
    </row>
    <row r="28" spans="1:14" x14ac:dyDescent="0.25">
      <c r="A28" s="53" t="s">
        <v>296</v>
      </c>
      <c r="B28" s="57"/>
      <c r="C28" s="77"/>
      <c r="D28" s="57"/>
      <c r="E28" s="57"/>
      <c r="F28" s="57"/>
      <c r="G28" s="57"/>
      <c r="H28" s="57"/>
      <c r="I28" s="57"/>
      <c r="J28" s="57"/>
      <c r="K28" s="57"/>
      <c r="L28" s="57"/>
      <c r="M28" s="57"/>
      <c r="N28" s="171"/>
    </row>
    <row r="29" spans="1:14" x14ac:dyDescent="0.25">
      <c r="A29" s="54" t="s">
        <v>297</v>
      </c>
      <c r="B29" s="57"/>
      <c r="C29" s="77"/>
      <c r="D29" s="57"/>
      <c r="E29" s="57"/>
      <c r="F29" s="57"/>
      <c r="G29" s="57"/>
      <c r="H29" s="57"/>
      <c r="I29" s="57"/>
      <c r="J29" s="57"/>
      <c r="K29" s="57"/>
      <c r="L29" s="57"/>
      <c r="M29" s="57"/>
      <c r="N29" s="171"/>
    </row>
    <row r="30" spans="1:14" x14ac:dyDescent="0.25">
      <c r="A30" s="54" t="s">
        <v>298</v>
      </c>
      <c r="B30" s="57">
        <v>-18672.7</v>
      </c>
      <c r="C30" s="77">
        <v>-25222.2</v>
      </c>
      <c r="D30" s="57">
        <v>-33177.5</v>
      </c>
      <c r="E30" s="57">
        <v>-32037.5</v>
      </c>
      <c r="F30" s="57">
        <v>-28765.200000000001</v>
      </c>
      <c r="G30" s="57">
        <v>-21153</v>
      </c>
      <c r="H30" s="57">
        <v>-14587.8</v>
      </c>
      <c r="I30" s="57">
        <v>-11610.6</v>
      </c>
      <c r="J30" s="57">
        <v>-9311.1</v>
      </c>
      <c r="K30" s="57">
        <v>-7967.5</v>
      </c>
      <c r="L30" s="57">
        <v>-7100.6</v>
      </c>
      <c r="M30" s="57">
        <v>-5199.2</v>
      </c>
      <c r="N30" s="171">
        <f>SUM(D30:M30)+B30</f>
        <v>-189582.70000000004</v>
      </c>
    </row>
    <row r="31" spans="1:14" x14ac:dyDescent="0.25">
      <c r="A31" s="54" t="s">
        <v>299</v>
      </c>
      <c r="B31" s="57">
        <v>-126.5</v>
      </c>
      <c r="C31" s="77">
        <v>-464.9</v>
      </c>
      <c r="D31" s="57">
        <v>-838.1</v>
      </c>
      <c r="E31" s="57">
        <v>-951.2</v>
      </c>
      <c r="F31" s="57">
        <v>-379.9</v>
      </c>
      <c r="G31" s="57">
        <v>-538.79999999999995</v>
      </c>
      <c r="H31" s="57">
        <v>-255.6</v>
      </c>
      <c r="I31" s="57">
        <v>-434.2</v>
      </c>
      <c r="J31" s="57">
        <v>-647.1</v>
      </c>
      <c r="K31" s="57">
        <v>-369.7</v>
      </c>
      <c r="L31" s="57">
        <v>-322.2</v>
      </c>
      <c r="M31" s="57">
        <v>-463.1</v>
      </c>
      <c r="N31" s="171">
        <f t="shared" ref="N31:N45" si="2">SUM(D31:M31)+B31</f>
        <v>-5326.4</v>
      </c>
    </row>
    <row r="32" spans="1:14" x14ac:dyDescent="0.25">
      <c r="A32" s="54" t="s">
        <v>300</v>
      </c>
      <c r="B32" s="57"/>
      <c r="C32" s="77"/>
      <c r="D32" s="57"/>
      <c r="E32" s="57"/>
      <c r="F32" s="57"/>
      <c r="G32" s="57"/>
      <c r="H32" s="57"/>
      <c r="I32" s="57"/>
      <c r="J32" s="57"/>
      <c r="K32" s="57"/>
      <c r="L32" s="57"/>
      <c r="M32" s="57"/>
      <c r="N32" s="171">
        <f t="shared" si="2"/>
        <v>0</v>
      </c>
    </row>
    <row r="33" spans="1:14" x14ac:dyDescent="0.25">
      <c r="A33" s="54" t="s">
        <v>298</v>
      </c>
      <c r="B33" s="57">
        <v>9737.6</v>
      </c>
      <c r="C33" s="77">
        <v>11747.1</v>
      </c>
      <c r="D33" s="57">
        <v>18965.2</v>
      </c>
      <c r="E33" s="57">
        <v>22727.200000000001</v>
      </c>
      <c r="F33" s="57">
        <v>18412.7</v>
      </c>
      <c r="G33" s="57">
        <v>7835.6</v>
      </c>
      <c r="H33" s="57">
        <v>5382.5</v>
      </c>
      <c r="I33" s="57">
        <v>5694.9</v>
      </c>
      <c r="J33" s="57">
        <v>4913.5</v>
      </c>
      <c r="K33" s="57">
        <v>5637.5</v>
      </c>
      <c r="L33" s="57">
        <v>3083.9</v>
      </c>
      <c r="M33" s="57">
        <v>3705.6</v>
      </c>
      <c r="N33" s="171">
        <f t="shared" si="2"/>
        <v>106096.20000000001</v>
      </c>
    </row>
    <row r="34" spans="1:14" x14ac:dyDescent="0.25">
      <c r="A34" s="54" t="s">
        <v>299</v>
      </c>
      <c r="B34" s="57">
        <v>1467</v>
      </c>
      <c r="C34" s="77">
        <v>625.20000000000005</v>
      </c>
      <c r="D34" s="57">
        <v>780.6</v>
      </c>
      <c r="E34" s="57">
        <v>431.8</v>
      </c>
      <c r="F34" s="57">
        <v>471.4</v>
      </c>
      <c r="G34" s="57">
        <v>823.5</v>
      </c>
      <c r="H34" s="57">
        <v>252.9</v>
      </c>
      <c r="I34" s="57">
        <v>484.6</v>
      </c>
      <c r="J34" s="57">
        <v>402.4</v>
      </c>
      <c r="K34" s="57">
        <v>560.1</v>
      </c>
      <c r="L34" s="57">
        <v>369.2</v>
      </c>
      <c r="M34" s="57">
        <v>793</v>
      </c>
      <c r="N34" s="171">
        <f t="shared" si="2"/>
        <v>6836.5</v>
      </c>
    </row>
    <row r="35" spans="1:14" x14ac:dyDescent="0.25">
      <c r="A35" s="54" t="s">
        <v>301</v>
      </c>
      <c r="B35" s="57"/>
      <c r="C35" s="77"/>
      <c r="D35" s="57"/>
      <c r="E35" s="57"/>
      <c r="F35" s="57"/>
      <c r="G35" s="57"/>
      <c r="H35" s="57"/>
      <c r="I35" s="57"/>
      <c r="J35" s="57"/>
      <c r="K35" s="57"/>
      <c r="L35" s="57"/>
      <c r="M35" s="57"/>
      <c r="N35" s="171">
        <f t="shared" si="2"/>
        <v>0</v>
      </c>
    </row>
    <row r="36" spans="1:14" x14ac:dyDescent="0.25">
      <c r="A36" s="54" t="s">
        <v>298</v>
      </c>
      <c r="B36" s="57">
        <v>4158.5</v>
      </c>
      <c r="C36" s="77">
        <v>5545.5</v>
      </c>
      <c r="D36" s="57">
        <v>7013.8</v>
      </c>
      <c r="E36" s="57">
        <v>7109.4</v>
      </c>
      <c r="F36" s="57">
        <v>6145.5</v>
      </c>
      <c r="G36" s="57">
        <v>5099.8</v>
      </c>
      <c r="H36" s="57">
        <v>5215.8</v>
      </c>
      <c r="I36" s="57">
        <v>4907.3999999999996</v>
      </c>
      <c r="J36" s="57">
        <v>3579.5</v>
      </c>
      <c r="K36" s="57">
        <v>2296.6</v>
      </c>
      <c r="L36" s="57">
        <v>1859.6</v>
      </c>
      <c r="M36" s="57">
        <v>1488.9</v>
      </c>
      <c r="N36" s="171">
        <f t="shared" si="2"/>
        <v>48874.799999999996</v>
      </c>
    </row>
    <row r="37" spans="1:14" x14ac:dyDescent="0.25">
      <c r="A37" s="54" t="s">
        <v>299</v>
      </c>
      <c r="B37" s="57">
        <v>39.299999999999997</v>
      </c>
      <c r="C37" s="77">
        <v>119.1</v>
      </c>
      <c r="D37" s="57">
        <v>223.1</v>
      </c>
      <c r="E37" s="57">
        <v>113.8</v>
      </c>
      <c r="F37" s="57">
        <v>49.9</v>
      </c>
      <c r="G37" s="57">
        <v>26.6</v>
      </c>
      <c r="H37" s="57">
        <v>50</v>
      </c>
      <c r="I37" s="57">
        <v>0</v>
      </c>
      <c r="J37" s="57">
        <v>12</v>
      </c>
      <c r="K37" s="57">
        <v>14.3</v>
      </c>
      <c r="L37" s="57">
        <v>21.5</v>
      </c>
      <c r="M37" s="57">
        <v>16</v>
      </c>
      <c r="N37" s="171">
        <f t="shared" si="2"/>
        <v>566.5</v>
      </c>
    </row>
    <row r="38" spans="1:14" x14ac:dyDescent="0.25">
      <c r="A38" s="54" t="s">
        <v>302</v>
      </c>
      <c r="B38" s="57">
        <v>-3266.6</v>
      </c>
      <c r="C38" s="77">
        <v>4209.3</v>
      </c>
      <c r="D38" s="57">
        <v>4355.7</v>
      </c>
      <c r="E38" s="57">
        <v>-3393.2</v>
      </c>
      <c r="F38" s="57">
        <v>31.5</v>
      </c>
      <c r="G38" s="57">
        <v>1116.3</v>
      </c>
      <c r="H38" s="57">
        <v>727.6</v>
      </c>
      <c r="I38" s="57">
        <v>-1357.2</v>
      </c>
      <c r="J38" s="57">
        <v>20.5</v>
      </c>
      <c r="K38" s="57">
        <v>-876</v>
      </c>
      <c r="L38" s="57">
        <v>716.6</v>
      </c>
      <c r="M38" s="57">
        <v>-438.2</v>
      </c>
      <c r="N38" s="171">
        <f t="shared" si="2"/>
        <v>-2363</v>
      </c>
    </row>
    <row r="39" spans="1:14" x14ac:dyDescent="0.25">
      <c r="A39" s="54" t="s">
        <v>303</v>
      </c>
      <c r="B39" s="57">
        <v>-68.7</v>
      </c>
      <c r="C39" s="77">
        <v>304.2</v>
      </c>
      <c r="D39" s="57">
        <v>47.9</v>
      </c>
      <c r="E39" s="57">
        <v>83.6</v>
      </c>
      <c r="F39" s="57">
        <v>6</v>
      </c>
      <c r="G39" s="57">
        <v>11.7</v>
      </c>
      <c r="H39" s="57">
        <v>-33.6</v>
      </c>
      <c r="I39" s="57">
        <v>50.9</v>
      </c>
      <c r="J39" s="57">
        <v>-8.1999999999999993</v>
      </c>
      <c r="K39" s="57">
        <v>-30</v>
      </c>
      <c r="L39" s="57">
        <v>152.19999999999999</v>
      </c>
      <c r="M39" s="57">
        <v>-44</v>
      </c>
      <c r="N39" s="171">
        <f t="shared" si="2"/>
        <v>167.8</v>
      </c>
    </row>
    <row r="40" spans="1:14" x14ac:dyDescent="0.25">
      <c r="A40" s="54" t="s">
        <v>329</v>
      </c>
      <c r="B40" s="57">
        <v>0</v>
      </c>
      <c r="C40" s="77">
        <v>0</v>
      </c>
      <c r="D40" s="57">
        <v>0</v>
      </c>
      <c r="E40" s="57">
        <v>0</v>
      </c>
      <c r="F40" s="57">
        <v>0</v>
      </c>
      <c r="G40" s="57">
        <v>0</v>
      </c>
      <c r="H40" s="57">
        <v>0</v>
      </c>
      <c r="I40" s="57">
        <v>0</v>
      </c>
      <c r="J40" s="57">
        <f>-752.7-12.6</f>
        <v>-765.30000000000007</v>
      </c>
      <c r="K40" s="57">
        <v>0</v>
      </c>
      <c r="L40" s="57">
        <v>0</v>
      </c>
      <c r="M40" s="57">
        <v>0</v>
      </c>
      <c r="N40" s="171">
        <f t="shared" si="2"/>
        <v>-765.30000000000007</v>
      </c>
    </row>
    <row r="41" spans="1:14" x14ac:dyDescent="0.25">
      <c r="A41" s="54" t="s">
        <v>304</v>
      </c>
      <c r="B41" s="57">
        <v>0</v>
      </c>
      <c r="C41" s="77">
        <v>-313.2</v>
      </c>
      <c r="D41" s="57">
        <v>-313.2</v>
      </c>
      <c r="E41" s="57">
        <v>0</v>
      </c>
      <c r="F41" s="57">
        <v>0</v>
      </c>
      <c r="G41" s="57">
        <v>0</v>
      </c>
      <c r="H41" s="57">
        <v>0</v>
      </c>
      <c r="I41" s="57">
        <v>0</v>
      </c>
      <c r="J41" s="57">
        <v>0</v>
      </c>
      <c r="K41" s="57">
        <v>0</v>
      </c>
      <c r="L41" s="57">
        <v>0</v>
      </c>
      <c r="M41" s="57">
        <v>0</v>
      </c>
      <c r="N41" s="171">
        <f t="shared" si="2"/>
        <v>-313.2</v>
      </c>
    </row>
    <row r="42" spans="1:14" x14ac:dyDescent="0.25">
      <c r="A42" s="54" t="s">
        <v>324</v>
      </c>
      <c r="B42" s="57">
        <v>0</v>
      </c>
      <c r="C42" s="77">
        <v>0</v>
      </c>
      <c r="D42" s="57">
        <v>0</v>
      </c>
      <c r="E42" s="57">
        <v>0</v>
      </c>
      <c r="F42" s="57">
        <v>0</v>
      </c>
      <c r="G42" s="57">
        <v>0</v>
      </c>
      <c r="H42" s="57">
        <v>-18.100000000000001</v>
      </c>
      <c r="I42" s="57">
        <v>0</v>
      </c>
      <c r="J42" s="57">
        <v>0</v>
      </c>
      <c r="K42" s="57">
        <v>0</v>
      </c>
      <c r="L42" s="57">
        <v>0</v>
      </c>
      <c r="M42" s="57">
        <v>0</v>
      </c>
      <c r="N42" s="171">
        <f t="shared" si="2"/>
        <v>-18.100000000000001</v>
      </c>
    </row>
    <row r="43" spans="1:14" x14ac:dyDescent="0.25">
      <c r="A43" s="54" t="s">
        <v>305</v>
      </c>
      <c r="B43" s="57">
        <v>-245</v>
      </c>
      <c r="C43" s="77">
        <v>-188.3</v>
      </c>
      <c r="D43" s="57">
        <v>-243.5</v>
      </c>
      <c r="E43" s="57">
        <v>-223.5</v>
      </c>
      <c r="F43" s="57">
        <v>-363.5</v>
      </c>
      <c r="G43" s="57">
        <v>-266</v>
      </c>
      <c r="H43" s="57">
        <v>-155.69999999999999</v>
      </c>
      <c r="I43" s="57">
        <v>-215</v>
      </c>
      <c r="J43" s="57">
        <v>-130.69999999999999</v>
      </c>
      <c r="K43" s="57">
        <v>-108.1</v>
      </c>
      <c r="L43" s="57">
        <v>-140.4</v>
      </c>
      <c r="M43" s="57">
        <v>-127.7</v>
      </c>
      <c r="N43" s="171">
        <f t="shared" si="2"/>
        <v>-2219.1000000000004</v>
      </c>
    </row>
    <row r="44" spans="1:14" x14ac:dyDescent="0.25">
      <c r="A44" s="54" t="s">
        <v>306</v>
      </c>
      <c r="B44" s="57">
        <v>16</v>
      </c>
      <c r="C44" s="77">
        <v>63.1</v>
      </c>
      <c r="D44" s="57">
        <v>66.2</v>
      </c>
      <c r="E44" s="57">
        <v>21.9</v>
      </c>
      <c r="F44" s="57">
        <v>53.3</v>
      </c>
      <c r="G44" s="57">
        <v>9.4</v>
      </c>
      <c r="H44" s="57">
        <v>15.3</v>
      </c>
      <c r="I44" s="57">
        <v>6.2</v>
      </c>
      <c r="J44" s="57">
        <v>10.6</v>
      </c>
      <c r="K44" s="57">
        <v>5.9</v>
      </c>
      <c r="L44" s="57">
        <v>3.7</v>
      </c>
      <c r="M44" s="57">
        <v>3.8</v>
      </c>
      <c r="N44" s="171">
        <f t="shared" si="2"/>
        <v>212.29999999999998</v>
      </c>
    </row>
    <row r="45" spans="1:14" x14ac:dyDescent="0.25">
      <c r="A45" s="54" t="s">
        <v>327</v>
      </c>
      <c r="B45" s="57">
        <v>0</v>
      </c>
      <c r="C45" s="77">
        <v>0</v>
      </c>
      <c r="D45" s="57">
        <v>0</v>
      </c>
      <c r="E45" s="57">
        <v>0</v>
      </c>
      <c r="F45" s="57">
        <v>0</v>
      </c>
      <c r="G45" s="57">
        <v>0</v>
      </c>
      <c r="H45" s="57">
        <v>0</v>
      </c>
      <c r="I45" s="57">
        <v>-7.7</v>
      </c>
      <c r="J45" s="57">
        <v>0</v>
      </c>
      <c r="K45" s="57">
        <v>0</v>
      </c>
      <c r="L45" s="57">
        <v>0</v>
      </c>
      <c r="M45" s="57">
        <v>0</v>
      </c>
      <c r="N45" s="171">
        <f t="shared" si="2"/>
        <v>-7.7</v>
      </c>
    </row>
    <row r="46" spans="1:14" x14ac:dyDescent="0.25">
      <c r="A46" s="53" t="s">
        <v>307</v>
      </c>
      <c r="B46" s="73">
        <f>SUM(B30:B45)</f>
        <v>-6961.0999999999995</v>
      </c>
      <c r="C46" s="79">
        <f>SUM(C30:C45)</f>
        <v>-3575.1000000000008</v>
      </c>
      <c r="D46" s="73">
        <f>SUM(D30:D45)</f>
        <v>-3119.799999999997</v>
      </c>
      <c r="E46" s="73">
        <f t="shared" ref="E46:N46" si="3">SUM(E30:E45)</f>
        <v>-6117.6999999999971</v>
      </c>
      <c r="F46" s="73">
        <f t="shared" si="3"/>
        <v>-4338.300000000002</v>
      </c>
      <c r="G46" s="73">
        <f t="shared" si="3"/>
        <v>-7034.8999999999987</v>
      </c>
      <c r="H46" s="73">
        <f t="shared" si="3"/>
        <v>-3406.6999999999994</v>
      </c>
      <c r="I46" s="73">
        <f t="shared" si="3"/>
        <v>-2480.7000000000012</v>
      </c>
      <c r="J46" s="73">
        <f t="shared" si="3"/>
        <v>-1923.9000000000012</v>
      </c>
      <c r="K46" s="73">
        <f t="shared" si="3"/>
        <v>-836.900000000001</v>
      </c>
      <c r="L46" s="73">
        <f t="shared" si="3"/>
        <v>-1356.5</v>
      </c>
      <c r="M46" s="73">
        <f t="shared" si="3"/>
        <v>-264.90000000000015</v>
      </c>
      <c r="N46" s="173">
        <f t="shared" si="3"/>
        <v>-37841.400000000016</v>
      </c>
    </row>
    <row r="47" spans="1:14" x14ac:dyDescent="0.25">
      <c r="A47" s="53" t="s">
        <v>308</v>
      </c>
      <c r="B47" s="57"/>
      <c r="C47" s="77"/>
      <c r="D47" s="57"/>
      <c r="E47" s="57"/>
      <c r="F47" s="57"/>
      <c r="G47" s="57"/>
      <c r="H47" s="57"/>
      <c r="I47" s="57"/>
      <c r="J47" s="57"/>
      <c r="K47" s="57"/>
      <c r="L47" s="57"/>
      <c r="M47" s="57"/>
      <c r="N47" s="171"/>
    </row>
    <row r="48" spans="1:14" x14ac:dyDescent="0.25">
      <c r="A48" s="54" t="s">
        <v>309</v>
      </c>
      <c r="B48" s="57">
        <v>-175.5</v>
      </c>
      <c r="C48" s="77">
        <v>-2811.5</v>
      </c>
      <c r="D48" s="57">
        <v>-3746.5</v>
      </c>
      <c r="E48" s="57">
        <v>-1551</v>
      </c>
      <c r="F48" s="57">
        <v>-1643.2</v>
      </c>
      <c r="G48" s="57">
        <v>-654.9</v>
      </c>
      <c r="H48" s="57">
        <v>-395.4</v>
      </c>
      <c r="I48" s="57">
        <v>-519</v>
      </c>
      <c r="J48" s="57">
        <v>-403.6</v>
      </c>
      <c r="K48" s="57">
        <v>-892.6</v>
      </c>
      <c r="L48" s="57">
        <v>-175.6</v>
      </c>
      <c r="M48" s="57">
        <v>-853.7</v>
      </c>
      <c r="N48" s="171">
        <f>SUM(D48:M48)+B48</f>
        <v>-11011.000000000002</v>
      </c>
    </row>
    <row r="49" spans="1:14" x14ac:dyDescent="0.25">
      <c r="A49" s="54" t="s">
        <v>310</v>
      </c>
      <c r="B49" s="57">
        <v>-26.8</v>
      </c>
      <c r="C49" s="77">
        <v>-26.8</v>
      </c>
      <c r="D49" s="57">
        <v>-26.8</v>
      </c>
      <c r="E49" s="57">
        <v>-26.8</v>
      </c>
      <c r="F49" s="57">
        <v>-26.8</v>
      </c>
      <c r="G49" s="57">
        <v>-13.5</v>
      </c>
      <c r="H49" s="57">
        <v>0</v>
      </c>
      <c r="I49" s="57">
        <v>0</v>
      </c>
      <c r="J49" s="57">
        <v>0</v>
      </c>
      <c r="K49" s="57">
        <v>0</v>
      </c>
      <c r="L49" s="57">
        <v>0</v>
      </c>
      <c r="M49" s="57">
        <v>0</v>
      </c>
      <c r="N49" s="171">
        <f t="shared" ref="N49:N59" si="4">SUM(D49:M49)+B49</f>
        <v>-120.7</v>
      </c>
    </row>
    <row r="50" spans="1:14" x14ac:dyDescent="0.25">
      <c r="A50" s="54" t="s">
        <v>311</v>
      </c>
      <c r="B50" s="57">
        <v>-76.2</v>
      </c>
      <c r="C50" s="77">
        <v>-66.900000000000006</v>
      </c>
      <c r="D50" s="57">
        <v>-67.2</v>
      </c>
      <c r="E50" s="57">
        <v>-68.7</v>
      </c>
      <c r="F50" s="57">
        <v>-84.4</v>
      </c>
      <c r="G50" s="57">
        <v>-78.599999999999994</v>
      </c>
      <c r="H50" s="57">
        <v>-57.6</v>
      </c>
      <c r="I50" s="57">
        <v>-25.1</v>
      </c>
      <c r="J50" s="57">
        <v>-30.6</v>
      </c>
      <c r="K50" s="57">
        <v>0</v>
      </c>
      <c r="L50" s="57">
        <v>0</v>
      </c>
      <c r="M50" s="57">
        <v>0</v>
      </c>
      <c r="N50" s="171">
        <f t="shared" si="4"/>
        <v>-488.40000000000003</v>
      </c>
    </row>
    <row r="51" spans="1:14" x14ac:dyDescent="0.25">
      <c r="A51" s="54" t="s">
        <v>312</v>
      </c>
      <c r="B51" s="57">
        <v>-2.4</v>
      </c>
      <c r="C51" s="77">
        <v>-100.3</v>
      </c>
      <c r="D51" s="57">
        <v>-155.80000000000001</v>
      </c>
      <c r="E51" s="57">
        <v>-42.9</v>
      </c>
      <c r="F51" s="57">
        <v>-6.9</v>
      </c>
      <c r="G51" s="57">
        <v>-0.4</v>
      </c>
      <c r="H51" s="57">
        <v>-4.9000000000000004</v>
      </c>
      <c r="I51" s="57">
        <v>-167.4</v>
      </c>
      <c r="J51" s="57">
        <v>-177.9</v>
      </c>
      <c r="K51" s="57">
        <v>-271.39999999999998</v>
      </c>
      <c r="L51" s="57">
        <v>-273.39999999999998</v>
      </c>
      <c r="M51" s="57">
        <v>-174.2</v>
      </c>
      <c r="N51" s="171">
        <f t="shared" si="4"/>
        <v>-1277.6000000000001</v>
      </c>
    </row>
    <row r="52" spans="1:14" x14ac:dyDescent="0.25">
      <c r="A52" s="54" t="s">
        <v>313</v>
      </c>
      <c r="B52" s="57">
        <v>0</v>
      </c>
      <c r="C52" s="77">
        <v>-20</v>
      </c>
      <c r="D52" s="57">
        <v>-20</v>
      </c>
      <c r="E52" s="57">
        <v>0</v>
      </c>
      <c r="F52" s="57">
        <v>0</v>
      </c>
      <c r="G52" s="57">
        <v>0</v>
      </c>
      <c r="H52" s="57">
        <v>0</v>
      </c>
      <c r="I52" s="57">
        <v>0</v>
      </c>
      <c r="J52" s="57">
        <v>0</v>
      </c>
      <c r="K52" s="57">
        <v>0</v>
      </c>
      <c r="L52" s="57">
        <v>0</v>
      </c>
      <c r="M52" s="57">
        <v>0</v>
      </c>
      <c r="N52" s="171">
        <f t="shared" si="4"/>
        <v>-20</v>
      </c>
    </row>
    <row r="53" spans="1:14" x14ac:dyDescent="0.25">
      <c r="A53" s="54" t="s">
        <v>314</v>
      </c>
      <c r="B53" s="57">
        <v>0</v>
      </c>
      <c r="C53" s="77">
        <v>-500</v>
      </c>
      <c r="D53" s="57">
        <v>-500</v>
      </c>
      <c r="E53" s="57">
        <v>0</v>
      </c>
      <c r="F53" s="57">
        <v>0</v>
      </c>
      <c r="G53" s="57">
        <v>-37.1</v>
      </c>
      <c r="H53" s="57">
        <v>-49</v>
      </c>
      <c r="I53" s="57">
        <v>-25.5</v>
      </c>
      <c r="J53" s="57">
        <v>-20.399999999999999</v>
      </c>
      <c r="K53" s="57">
        <v>0</v>
      </c>
      <c r="L53" s="57">
        <v>-150</v>
      </c>
      <c r="M53" s="57">
        <v>-350</v>
      </c>
      <c r="N53" s="171">
        <f t="shared" si="4"/>
        <v>-1132</v>
      </c>
    </row>
    <row r="54" spans="1:14" x14ac:dyDescent="0.25">
      <c r="A54" s="54" t="s">
        <v>315</v>
      </c>
      <c r="B54" s="57">
        <v>0</v>
      </c>
      <c r="C54" s="77">
        <v>0</v>
      </c>
      <c r="D54" s="57">
        <v>0</v>
      </c>
      <c r="E54" s="57">
        <v>-243</v>
      </c>
      <c r="F54" s="57">
        <v>-11.2</v>
      </c>
      <c r="G54" s="57">
        <v>-296.89999999999998</v>
      </c>
      <c r="H54" s="57">
        <v>0</v>
      </c>
      <c r="I54" s="57">
        <v>0</v>
      </c>
      <c r="J54" s="57">
        <v>0</v>
      </c>
      <c r="K54" s="57">
        <v>0</v>
      </c>
      <c r="L54" s="57">
        <v>0</v>
      </c>
      <c r="M54" s="57">
        <v>0</v>
      </c>
      <c r="N54" s="171">
        <f t="shared" si="4"/>
        <v>-551.09999999999991</v>
      </c>
    </row>
    <row r="55" spans="1:14" x14ac:dyDescent="0.25">
      <c r="A55" s="54" t="s">
        <v>316</v>
      </c>
      <c r="B55" s="57">
        <v>1486</v>
      </c>
      <c r="C55" s="77">
        <v>0</v>
      </c>
      <c r="D55" s="57">
        <v>0</v>
      </c>
      <c r="E55" s="57">
        <v>986.3</v>
      </c>
      <c r="F55" s="57">
        <v>0</v>
      </c>
      <c r="G55" s="57">
        <v>1134</v>
      </c>
      <c r="H55" s="57">
        <v>841.1</v>
      </c>
      <c r="I55" s="57">
        <v>495.6</v>
      </c>
      <c r="J55" s="57">
        <v>382</v>
      </c>
      <c r="K55" s="57">
        <v>344.7</v>
      </c>
      <c r="L55" s="57">
        <v>0</v>
      </c>
      <c r="M55" s="57">
        <v>0</v>
      </c>
      <c r="N55" s="171">
        <f t="shared" si="4"/>
        <v>5669.7</v>
      </c>
    </row>
    <row r="56" spans="1:14" x14ac:dyDescent="0.25">
      <c r="A56" s="54" t="s">
        <v>356</v>
      </c>
      <c r="B56" s="57">
        <v>0</v>
      </c>
      <c r="C56" s="77">
        <v>0</v>
      </c>
      <c r="D56" s="57">
        <v>0</v>
      </c>
      <c r="E56" s="57">
        <v>0</v>
      </c>
      <c r="F56" s="57">
        <v>0</v>
      </c>
      <c r="G56" s="57">
        <v>0</v>
      </c>
      <c r="H56" s="57">
        <v>-635.6</v>
      </c>
      <c r="I56" s="57">
        <v>-18.2</v>
      </c>
      <c r="J56" s="57">
        <v>-19.3</v>
      </c>
      <c r="K56" s="57">
        <v>-48.9</v>
      </c>
      <c r="L56" s="57">
        <v>-58.1</v>
      </c>
      <c r="M56" s="57">
        <v>-32.5</v>
      </c>
      <c r="N56" s="171">
        <f t="shared" si="4"/>
        <v>-812.6</v>
      </c>
    </row>
    <row r="57" spans="1:14" x14ac:dyDescent="0.25">
      <c r="A57" s="54" t="s">
        <v>322</v>
      </c>
      <c r="B57" s="57">
        <v>0</v>
      </c>
      <c r="C57" s="77">
        <v>0</v>
      </c>
      <c r="D57" s="57">
        <v>0</v>
      </c>
      <c r="E57" s="57">
        <v>0</v>
      </c>
      <c r="F57" s="57">
        <v>0</v>
      </c>
      <c r="G57" s="57">
        <v>493.9</v>
      </c>
      <c r="H57" s="57">
        <v>0</v>
      </c>
      <c r="I57" s="57">
        <v>0</v>
      </c>
      <c r="J57" s="57">
        <v>0</v>
      </c>
      <c r="K57" s="57">
        <v>0</v>
      </c>
      <c r="L57" s="57">
        <v>0</v>
      </c>
      <c r="M57" s="57">
        <v>0</v>
      </c>
      <c r="N57" s="171">
        <f t="shared" si="4"/>
        <v>493.9</v>
      </c>
    </row>
    <row r="58" spans="1:14" x14ac:dyDescent="0.25">
      <c r="A58" s="54" t="s">
        <v>328</v>
      </c>
      <c r="B58" s="57">
        <v>0</v>
      </c>
      <c r="C58" s="77">
        <v>0</v>
      </c>
      <c r="D58" s="57">
        <v>0</v>
      </c>
      <c r="E58" s="57">
        <v>0</v>
      </c>
      <c r="F58" s="57">
        <v>0</v>
      </c>
      <c r="G58" s="57">
        <v>0</v>
      </c>
      <c r="H58" s="57">
        <v>0</v>
      </c>
      <c r="I58" s="57">
        <v>9.1999999999999993</v>
      </c>
      <c r="J58" s="57">
        <v>16.8</v>
      </c>
      <c r="K58" s="57">
        <v>12.8</v>
      </c>
      <c r="L58" s="57">
        <v>10.3</v>
      </c>
      <c r="M58" s="57">
        <v>5.8</v>
      </c>
      <c r="N58" s="171">
        <f t="shared" si="4"/>
        <v>54.899999999999991</v>
      </c>
    </row>
    <row r="59" spans="1:14" x14ac:dyDescent="0.25">
      <c r="A59" s="54" t="s">
        <v>317</v>
      </c>
      <c r="B59" s="57">
        <v>0</v>
      </c>
      <c r="C59" s="77">
        <v>0</v>
      </c>
      <c r="D59" s="57">
        <v>0</v>
      </c>
      <c r="E59" s="57">
        <v>7.3</v>
      </c>
      <c r="F59" s="57">
        <v>1.6</v>
      </c>
      <c r="G59" s="57">
        <v>3.3</v>
      </c>
      <c r="H59" s="57">
        <v>0.5</v>
      </c>
      <c r="I59" s="57">
        <v>0</v>
      </c>
      <c r="J59" s="57">
        <v>0.2</v>
      </c>
      <c r="K59" s="57">
        <v>0</v>
      </c>
      <c r="L59" s="57">
        <v>0</v>
      </c>
      <c r="M59" s="57">
        <v>0.5</v>
      </c>
      <c r="N59" s="171">
        <f t="shared" si="4"/>
        <v>13.399999999999999</v>
      </c>
    </row>
    <row r="60" spans="1:14" x14ac:dyDescent="0.25">
      <c r="A60" s="53" t="s">
        <v>318</v>
      </c>
      <c r="B60" s="73">
        <f>SUM(B48:B59)</f>
        <v>1205.0999999999999</v>
      </c>
      <c r="C60" s="79">
        <f t="shared" ref="C60:M60" si="5">SUM(C48:C59)</f>
        <v>-3525.5000000000005</v>
      </c>
      <c r="D60" s="73">
        <f t="shared" si="5"/>
        <v>-4516.3</v>
      </c>
      <c r="E60" s="73">
        <f t="shared" si="5"/>
        <v>-938.80000000000018</v>
      </c>
      <c r="F60" s="73">
        <f t="shared" si="5"/>
        <v>-1770.9000000000003</v>
      </c>
      <c r="G60" s="73">
        <f t="shared" si="5"/>
        <v>549.79999999999984</v>
      </c>
      <c r="H60" s="73">
        <f t="shared" si="5"/>
        <v>-300.89999999999998</v>
      </c>
      <c r="I60" s="73">
        <f t="shared" si="5"/>
        <v>-250.39999999999998</v>
      </c>
      <c r="J60" s="73">
        <f t="shared" si="5"/>
        <v>-252.8</v>
      </c>
      <c r="K60" s="73">
        <f t="shared" si="5"/>
        <v>-855.4</v>
      </c>
      <c r="L60" s="73">
        <f t="shared" si="5"/>
        <v>-646.80000000000007</v>
      </c>
      <c r="M60" s="73">
        <f t="shared" si="5"/>
        <v>-1404.1000000000001</v>
      </c>
      <c r="N60" s="173">
        <f>SUM(N48:N59)</f>
        <v>-9181.5000000000036</v>
      </c>
    </row>
    <row r="61" spans="1:14" x14ac:dyDescent="0.25">
      <c r="A61" s="54" t="s">
        <v>325</v>
      </c>
      <c r="B61" s="58">
        <v>0</v>
      </c>
      <c r="C61" s="77">
        <v>0</v>
      </c>
      <c r="D61" s="58">
        <v>0</v>
      </c>
      <c r="E61" s="58">
        <v>0</v>
      </c>
      <c r="F61" s="58">
        <v>0</v>
      </c>
      <c r="G61" s="58">
        <v>0</v>
      </c>
      <c r="H61" s="58">
        <v>-0.3</v>
      </c>
      <c r="I61" s="58">
        <v>0.4</v>
      </c>
      <c r="J61" s="58">
        <v>-0.2</v>
      </c>
      <c r="K61" s="58">
        <v>0</v>
      </c>
      <c r="L61" s="58">
        <v>-0.6</v>
      </c>
      <c r="M61" s="58">
        <v>1</v>
      </c>
      <c r="N61" s="171">
        <f>SUM(D61:M61)+B61</f>
        <v>0.30000000000000004</v>
      </c>
    </row>
    <row r="62" spans="1:14" x14ac:dyDescent="0.25">
      <c r="A62" s="54" t="s">
        <v>319</v>
      </c>
      <c r="B62" s="57">
        <f>B60+B46+B27+B61</f>
        <v>163.20000000000073</v>
      </c>
      <c r="C62" s="77">
        <f>C60+C46+C27+C61</f>
        <v>208.99999999999818</v>
      </c>
      <c r="D62" s="57">
        <f>D60+D46+D27+D61</f>
        <v>125.60000000000309</v>
      </c>
      <c r="E62" s="57">
        <f t="shared" ref="E62:M62" si="6">E60+E46+E27+E61</f>
        <v>-150.89999999999873</v>
      </c>
      <c r="F62" s="57">
        <f t="shared" si="6"/>
        <v>152.39999999999873</v>
      </c>
      <c r="G62" s="57">
        <f t="shared" si="6"/>
        <v>-200.29999999999836</v>
      </c>
      <c r="H62" s="57">
        <f t="shared" si="6"/>
        <v>48.90000000000073</v>
      </c>
      <c r="I62" s="57">
        <f t="shared" si="6"/>
        <v>1.9999999999989995</v>
      </c>
      <c r="J62" s="57">
        <f t="shared" si="6"/>
        <v>115.99999999999936</v>
      </c>
      <c r="K62" s="57">
        <f t="shared" si="6"/>
        <v>33.299999999999045</v>
      </c>
      <c r="L62" s="57">
        <f t="shared" si="6"/>
        <v>-104.00000000000009</v>
      </c>
      <c r="M62" s="57">
        <f t="shared" si="6"/>
        <v>23.399999999999409</v>
      </c>
      <c r="N62" s="171">
        <f>SUM(D62:M62)+B62</f>
        <v>209.60000000000292</v>
      </c>
    </row>
    <row r="63" spans="1:14" x14ac:dyDescent="0.25">
      <c r="A63" s="54" t="s">
        <v>320</v>
      </c>
      <c r="B63" s="57">
        <v>202.1</v>
      </c>
      <c r="C63" s="77">
        <v>76.5</v>
      </c>
      <c r="D63" s="57">
        <v>76.5</v>
      </c>
      <c r="E63" s="57">
        <v>227.4</v>
      </c>
      <c r="F63" s="57">
        <v>75</v>
      </c>
      <c r="G63" s="57">
        <v>275.3</v>
      </c>
      <c r="H63" s="57">
        <v>226.4</v>
      </c>
      <c r="I63" s="57">
        <v>224.4</v>
      </c>
      <c r="J63" s="57">
        <v>108.4</v>
      </c>
      <c r="K63" s="57">
        <v>75.099999999999994</v>
      </c>
      <c r="L63" s="57">
        <v>179.1</v>
      </c>
      <c r="M63" s="57">
        <v>155.69999999999999</v>
      </c>
      <c r="N63" s="171">
        <v>155.69999999999999</v>
      </c>
    </row>
    <row r="64" spans="1:14" ht="20" thickBot="1" x14ac:dyDescent="0.3">
      <c r="A64" s="53" t="s">
        <v>321</v>
      </c>
      <c r="B64" s="64">
        <f>SUM(B62:B63)</f>
        <v>365.30000000000075</v>
      </c>
      <c r="C64" s="81">
        <f t="shared" ref="C64:N64" si="7">SUM(C62:C63)</f>
        <v>285.49999999999818</v>
      </c>
      <c r="D64" s="64">
        <f t="shared" si="7"/>
        <v>202.10000000000309</v>
      </c>
      <c r="E64" s="64">
        <f t="shared" si="7"/>
        <v>76.500000000001279</v>
      </c>
      <c r="F64" s="64">
        <f t="shared" si="7"/>
        <v>227.39999999999873</v>
      </c>
      <c r="G64" s="64">
        <f t="shared" si="7"/>
        <v>75.000000000001648</v>
      </c>
      <c r="H64" s="64">
        <f t="shared" si="7"/>
        <v>275.30000000000075</v>
      </c>
      <c r="I64" s="64">
        <f t="shared" si="7"/>
        <v>226.39999999999901</v>
      </c>
      <c r="J64" s="64">
        <f t="shared" si="7"/>
        <v>224.39999999999935</v>
      </c>
      <c r="K64" s="64">
        <f t="shared" si="7"/>
        <v>108.39999999999904</v>
      </c>
      <c r="L64" s="64">
        <f t="shared" si="7"/>
        <v>75.099999999999909</v>
      </c>
      <c r="M64" s="64">
        <f t="shared" si="7"/>
        <v>179.0999999999994</v>
      </c>
      <c r="N64" s="174">
        <f t="shared" si="7"/>
        <v>365.30000000000291</v>
      </c>
    </row>
    <row r="65" spans="1:14" ht="20" thickTop="1" x14ac:dyDescent="0.25">
      <c r="B65" s="57"/>
      <c r="C65" s="177"/>
      <c r="D65" s="57"/>
      <c r="E65" s="57"/>
      <c r="F65" s="57"/>
      <c r="G65" s="57"/>
      <c r="H65" s="57"/>
      <c r="I65" s="57"/>
      <c r="J65" s="57"/>
      <c r="K65" s="57"/>
      <c r="L65" s="57"/>
      <c r="M65" s="177"/>
    </row>
    <row r="66" spans="1:14" x14ac:dyDescent="0.25">
      <c r="A66" s="53" t="s">
        <v>349</v>
      </c>
      <c r="B66" s="62">
        <f>B18+B19+B20+B21+B23+B24</f>
        <v>3714.7999999999997</v>
      </c>
      <c r="C66" s="80">
        <f t="shared" ref="C66:M66" si="8">C18+C19+C20+C21+C23+C24</f>
        <v>4639.7</v>
      </c>
      <c r="D66" s="62">
        <f t="shared" si="8"/>
        <v>5015.3999999999996</v>
      </c>
      <c r="E66" s="62">
        <f t="shared" si="8"/>
        <v>1993.5</v>
      </c>
      <c r="F66" s="62">
        <f t="shared" si="8"/>
        <v>2292.1999999999998</v>
      </c>
      <c r="G66" s="62">
        <f t="shared" si="8"/>
        <v>2322.1000000000004</v>
      </c>
      <c r="H66" s="62">
        <f t="shared" si="8"/>
        <v>1689.8</v>
      </c>
      <c r="I66" s="62">
        <f t="shared" si="8"/>
        <v>1192.2</v>
      </c>
      <c r="J66" s="62">
        <f t="shared" si="8"/>
        <v>916.6</v>
      </c>
      <c r="K66" s="62">
        <f t="shared" si="8"/>
        <v>255.60000000000002</v>
      </c>
      <c r="L66" s="62">
        <f t="shared" si="8"/>
        <v>548.09999999999991</v>
      </c>
      <c r="M66" s="80">
        <f t="shared" si="8"/>
        <v>609.5</v>
      </c>
      <c r="N66" s="62">
        <f>SUM(D66:M66)+B66</f>
        <v>20549.8</v>
      </c>
    </row>
    <row r="67" spans="1:14" x14ac:dyDescent="0.25">
      <c r="A67" s="54" t="s">
        <v>348</v>
      </c>
      <c r="B67" s="57"/>
      <c r="C67" s="57"/>
      <c r="D67" s="57"/>
      <c r="E67" s="57"/>
      <c r="F67" s="57"/>
      <c r="G67" s="57"/>
      <c r="H67" s="57"/>
      <c r="I67" s="57"/>
      <c r="J67" s="57"/>
      <c r="K67" s="57"/>
      <c r="L67" s="57"/>
      <c r="M67" s="57"/>
    </row>
    <row r="68" spans="1:14" x14ac:dyDescent="0.25">
      <c r="B68" s="57"/>
      <c r="C68" s="57"/>
      <c r="D68" s="57"/>
      <c r="E68" s="57"/>
      <c r="F68" s="57"/>
      <c r="G68" s="57"/>
      <c r="H68" s="57"/>
      <c r="I68" s="57"/>
      <c r="J68" s="57"/>
      <c r="K68" s="57"/>
      <c r="L68" s="57"/>
      <c r="M68" s="57"/>
    </row>
    <row r="69" spans="1:14" x14ac:dyDescent="0.25">
      <c r="B69" s="57"/>
      <c r="C69" s="57"/>
      <c r="D69" s="57"/>
      <c r="E69" s="57"/>
      <c r="F69" s="57"/>
      <c r="G69" s="57"/>
      <c r="H69" s="57"/>
      <c r="I69" s="57"/>
      <c r="J69" s="57"/>
      <c r="K69" s="57"/>
      <c r="L69" s="57"/>
      <c r="M69" s="57"/>
    </row>
    <row r="70" spans="1:14" x14ac:dyDescent="0.25">
      <c r="A70" s="152" t="s">
        <v>333</v>
      </c>
      <c r="B70" s="168" t="s">
        <v>334</v>
      </c>
      <c r="C70" s="57"/>
      <c r="D70" s="57"/>
      <c r="E70" s="57"/>
      <c r="F70" s="57"/>
      <c r="G70" s="57"/>
      <c r="H70" s="57"/>
      <c r="I70" s="57"/>
      <c r="J70" s="57"/>
      <c r="K70" s="57"/>
      <c r="L70" s="57"/>
      <c r="M70" s="57"/>
    </row>
    <row r="71" spans="1:14" x14ac:dyDescent="0.25">
      <c r="A71" s="53" t="s">
        <v>347</v>
      </c>
      <c r="B71" s="175"/>
      <c r="C71" s="57"/>
      <c r="D71" s="57"/>
      <c r="E71" s="57"/>
      <c r="F71" s="57"/>
      <c r="G71" s="57"/>
      <c r="H71" s="57"/>
      <c r="I71" s="57"/>
      <c r="J71" s="57"/>
      <c r="K71" s="57"/>
      <c r="L71" s="57"/>
      <c r="M71" s="57"/>
    </row>
    <row r="72" spans="1:14" x14ac:dyDescent="0.25">
      <c r="A72" s="54" t="s">
        <v>335</v>
      </c>
      <c r="B72" s="57">
        <f>N27</f>
        <v>47232.19999999999</v>
      </c>
    </row>
    <row r="73" spans="1:14" x14ac:dyDescent="0.25">
      <c r="A73" s="54" t="s">
        <v>340</v>
      </c>
      <c r="B73" s="57">
        <f>N52+N53+N55+N56</f>
        <v>3705.1</v>
      </c>
    </row>
    <row r="74" spans="1:14" x14ac:dyDescent="0.25">
      <c r="A74" s="54" t="s">
        <v>341</v>
      </c>
      <c r="B74" s="57">
        <f>N57</f>
        <v>493.9</v>
      </c>
    </row>
    <row r="75" spans="1:14" x14ac:dyDescent="0.25">
      <c r="A75" s="54" t="s">
        <v>338</v>
      </c>
      <c r="B75" s="57">
        <f>N31+N34+N37</f>
        <v>2076.6000000000004</v>
      </c>
    </row>
    <row r="76" spans="1:14" ht="20" thickBot="1" x14ac:dyDescent="0.3">
      <c r="A76" s="53" t="s">
        <v>345</v>
      </c>
      <c r="B76" s="64">
        <f>SUM(B72:B75)</f>
        <v>53507.799999999988</v>
      </c>
    </row>
    <row r="77" spans="1:14" ht="20" thickTop="1" x14ac:dyDescent="0.25">
      <c r="A77" s="53" t="s">
        <v>346</v>
      </c>
      <c r="B77" s="62"/>
    </row>
    <row r="78" spans="1:14" x14ac:dyDescent="0.25">
      <c r="A78" s="54" t="s">
        <v>337</v>
      </c>
      <c r="B78" s="57">
        <f>N30+N33+N36</f>
        <v>-34611.700000000033</v>
      </c>
    </row>
    <row r="79" spans="1:14" x14ac:dyDescent="0.25">
      <c r="A79" s="54" t="s">
        <v>339</v>
      </c>
      <c r="B79" s="57">
        <f>N38</f>
        <v>-2363</v>
      </c>
    </row>
    <row r="80" spans="1:14" x14ac:dyDescent="0.25">
      <c r="A80" s="54" t="s">
        <v>336</v>
      </c>
      <c r="B80" s="57">
        <f>N43+N44</f>
        <v>-2006.8000000000004</v>
      </c>
    </row>
    <row r="81" spans="1:2" x14ac:dyDescent="0.25">
      <c r="A81" s="54" t="s">
        <v>342</v>
      </c>
      <c r="B81" s="57">
        <f>N54+N40+N41+N42</f>
        <v>-1647.7</v>
      </c>
    </row>
    <row r="82" spans="1:2" x14ac:dyDescent="0.25">
      <c r="A82" s="54" t="s">
        <v>343</v>
      </c>
      <c r="B82" s="57">
        <f>N48</f>
        <v>-11011.000000000002</v>
      </c>
    </row>
    <row r="83" spans="1:2" x14ac:dyDescent="0.25">
      <c r="A83" s="54" t="s">
        <v>344</v>
      </c>
      <c r="B83" s="57">
        <f>N51+N50</f>
        <v>-1766.0000000000002</v>
      </c>
    </row>
    <row r="84" spans="1:2" ht="20" thickBot="1" x14ac:dyDescent="0.3">
      <c r="A84" s="53" t="s">
        <v>346</v>
      </c>
      <c r="B84" s="176">
        <f>SUM(B78:B83)</f>
        <v>-53406.200000000033</v>
      </c>
    </row>
    <row r="85" spans="1:2" ht="20" thickTop="1" x14ac:dyDescent="0.25"/>
    <row r="89" spans="1:2" x14ac:dyDescent="0.25">
      <c r="B89" s="57"/>
    </row>
    <row r="90" spans="1:2" x14ac:dyDescent="0.25">
      <c r="B90" s="57"/>
    </row>
    <row r="91" spans="1:2" x14ac:dyDescent="0.25">
      <c r="B91" s="57"/>
    </row>
    <row r="92" spans="1:2" x14ac:dyDescent="0.25">
      <c r="B92" s="57"/>
    </row>
    <row r="93" spans="1:2" x14ac:dyDescent="0.25">
      <c r="B93" s="57"/>
    </row>
    <row r="94" spans="1:2" x14ac:dyDescent="0.25">
      <c r="B94" s="57"/>
    </row>
    <row r="95" spans="1:2" x14ac:dyDescent="0.25">
      <c r="B95" s="57"/>
    </row>
  </sheetData>
  <mergeCells count="3">
    <mergeCell ref="A3:A4"/>
    <mergeCell ref="B3:C3"/>
    <mergeCell ref="D3:M3"/>
  </mergeCells>
  <pageMargins left="0.7" right="0.7" top="0.75" bottom="0.75" header="0.3" footer="0.3"/>
  <pageSetup orientation="portrait" r:id="rId1"/>
  <ignoredErrors>
    <ignoredError sqref="N6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sheetPr>
  <dimension ref="A1:AK66"/>
  <sheetViews>
    <sheetView zoomScaleNormal="100" workbookViewId="0"/>
  </sheetViews>
  <sheetFormatPr baseColWidth="10" defaultColWidth="9.1640625" defaultRowHeight="19" x14ac:dyDescent="0.25"/>
  <cols>
    <col min="1" max="1" width="35.83203125" style="54" bestFit="1" customWidth="1"/>
    <col min="2" max="19" width="13.83203125" style="54" customWidth="1"/>
    <col min="20" max="37" width="13.1640625" style="54" customWidth="1"/>
    <col min="38" max="16384" width="9.1640625" style="54"/>
  </cols>
  <sheetData>
    <row r="1" spans="1:37" ht="24" x14ac:dyDescent="0.3">
      <c r="A1" s="19" t="s">
        <v>240</v>
      </c>
      <c r="B1" s="85"/>
      <c r="C1" s="85"/>
      <c r="D1" s="85"/>
      <c r="E1" s="85"/>
      <c r="F1" s="53"/>
      <c r="G1" s="53"/>
      <c r="H1" s="53"/>
      <c r="I1" s="53"/>
      <c r="J1" s="53"/>
      <c r="K1" s="53"/>
      <c r="L1" s="53"/>
      <c r="M1" s="53"/>
      <c r="N1" s="53"/>
      <c r="O1" s="53"/>
      <c r="P1" s="53"/>
    </row>
    <row r="2" spans="1:37" x14ac:dyDescent="0.25">
      <c r="A2" s="55" t="s">
        <v>361</v>
      </c>
      <c r="B2" s="55"/>
      <c r="C2" s="55"/>
      <c r="D2" s="55"/>
      <c r="E2" s="55"/>
      <c r="F2" s="55"/>
      <c r="G2" s="55"/>
      <c r="H2" s="55"/>
      <c r="I2" s="55"/>
      <c r="J2" s="55"/>
      <c r="K2" s="55"/>
      <c r="L2" s="55"/>
      <c r="M2" s="55"/>
      <c r="N2" s="55"/>
      <c r="O2" s="55"/>
    </row>
    <row r="3" spans="1:37" x14ac:dyDescent="0.25">
      <c r="B3" s="204" t="s">
        <v>362</v>
      </c>
      <c r="C3" s="204"/>
      <c r="D3" s="205">
        <v>2021</v>
      </c>
      <c r="E3" s="205"/>
      <c r="F3" s="204">
        <v>2020</v>
      </c>
      <c r="G3" s="204"/>
      <c r="H3" s="205">
        <v>2019</v>
      </c>
      <c r="I3" s="205"/>
      <c r="J3" s="204">
        <v>2018</v>
      </c>
      <c r="K3" s="204"/>
      <c r="L3" s="205">
        <v>2017</v>
      </c>
      <c r="M3" s="205"/>
      <c r="N3" s="204">
        <v>2016</v>
      </c>
      <c r="O3" s="204"/>
      <c r="P3" s="205">
        <v>2015</v>
      </c>
      <c r="Q3" s="205"/>
      <c r="R3" s="204">
        <v>2014</v>
      </c>
      <c r="S3" s="204"/>
      <c r="T3" s="205">
        <v>2013</v>
      </c>
      <c r="U3" s="205"/>
      <c r="V3" s="204">
        <v>2012</v>
      </c>
      <c r="W3" s="204"/>
      <c r="X3" s="205">
        <v>2011</v>
      </c>
      <c r="Y3" s="205"/>
      <c r="Z3" s="204">
        <v>2010</v>
      </c>
      <c r="AA3" s="204"/>
      <c r="AB3" s="205">
        <v>2009</v>
      </c>
      <c r="AC3" s="205"/>
      <c r="AD3" s="204">
        <v>2008</v>
      </c>
      <c r="AE3" s="204"/>
      <c r="AF3" s="205">
        <v>2007</v>
      </c>
      <c r="AG3" s="205"/>
      <c r="AH3" s="204">
        <v>2006</v>
      </c>
      <c r="AI3" s="204"/>
      <c r="AJ3" s="205">
        <v>2005</v>
      </c>
      <c r="AK3" s="205"/>
    </row>
    <row r="4" spans="1:37" x14ac:dyDescent="0.25">
      <c r="B4" s="92" t="s">
        <v>53</v>
      </c>
      <c r="C4" s="92" t="s">
        <v>54</v>
      </c>
      <c r="D4" s="91" t="s">
        <v>53</v>
      </c>
      <c r="E4" s="91" t="s">
        <v>54</v>
      </c>
      <c r="F4" s="92" t="s">
        <v>53</v>
      </c>
      <c r="G4" s="92" t="s">
        <v>54</v>
      </c>
      <c r="H4" s="91" t="s">
        <v>53</v>
      </c>
      <c r="I4" s="91" t="s">
        <v>54</v>
      </c>
      <c r="J4" s="92" t="s">
        <v>53</v>
      </c>
      <c r="K4" s="92" t="s">
        <v>54</v>
      </c>
      <c r="L4" s="91" t="s">
        <v>53</v>
      </c>
      <c r="M4" s="91" t="s">
        <v>54</v>
      </c>
      <c r="N4" s="92" t="s">
        <v>53</v>
      </c>
      <c r="O4" s="92" t="s">
        <v>54</v>
      </c>
      <c r="P4" s="91" t="s">
        <v>53</v>
      </c>
      <c r="Q4" s="91" t="s">
        <v>54</v>
      </c>
      <c r="R4" s="92" t="s">
        <v>53</v>
      </c>
      <c r="S4" s="92" t="s">
        <v>54</v>
      </c>
      <c r="T4" s="91" t="s">
        <v>53</v>
      </c>
      <c r="U4" s="91" t="s">
        <v>54</v>
      </c>
      <c r="V4" s="92" t="s">
        <v>53</v>
      </c>
      <c r="W4" s="92" t="s">
        <v>54</v>
      </c>
      <c r="X4" s="91" t="s">
        <v>53</v>
      </c>
      <c r="Y4" s="91" t="s">
        <v>54</v>
      </c>
      <c r="Z4" s="92" t="s">
        <v>53</v>
      </c>
      <c r="AA4" s="92" t="s">
        <v>54</v>
      </c>
      <c r="AB4" s="91" t="s">
        <v>53</v>
      </c>
      <c r="AC4" s="91" t="s">
        <v>54</v>
      </c>
      <c r="AD4" s="92" t="s">
        <v>53</v>
      </c>
      <c r="AE4" s="92" t="s">
        <v>54</v>
      </c>
      <c r="AF4" s="91" t="s">
        <v>53</v>
      </c>
      <c r="AG4" s="91" t="s">
        <v>54</v>
      </c>
      <c r="AH4" s="92" t="s">
        <v>53</v>
      </c>
      <c r="AI4" s="92" t="s">
        <v>54</v>
      </c>
      <c r="AJ4" s="91" t="s">
        <v>53</v>
      </c>
      <c r="AK4" s="91" t="s">
        <v>54</v>
      </c>
    </row>
    <row r="5" spans="1:37" x14ac:dyDescent="0.25">
      <c r="A5" s="53" t="s">
        <v>44</v>
      </c>
      <c r="B5" s="94"/>
      <c r="C5" s="94"/>
      <c r="D5" s="93"/>
      <c r="E5" s="93"/>
      <c r="F5" s="94"/>
      <c r="G5" s="94"/>
      <c r="H5" s="93"/>
      <c r="I5" s="93"/>
      <c r="J5" s="94"/>
      <c r="K5" s="94"/>
      <c r="L5" s="93"/>
      <c r="M5" s="93"/>
      <c r="N5" s="94"/>
      <c r="O5" s="94"/>
      <c r="P5" s="93"/>
      <c r="Q5" s="93"/>
      <c r="R5" s="94"/>
      <c r="S5" s="94"/>
      <c r="T5" s="93"/>
      <c r="U5" s="93"/>
      <c r="V5" s="94"/>
      <c r="W5" s="94"/>
      <c r="X5" s="93"/>
      <c r="Y5" s="93"/>
      <c r="Z5" s="57"/>
      <c r="AA5" s="57"/>
      <c r="AB5" s="95"/>
      <c r="AC5" s="95"/>
      <c r="AD5" s="57"/>
      <c r="AE5" s="57"/>
      <c r="AF5" s="95"/>
      <c r="AG5" s="95"/>
      <c r="AH5" s="57"/>
      <c r="AI5" s="57"/>
      <c r="AJ5" s="95"/>
      <c r="AK5" s="95"/>
    </row>
    <row r="6" spans="1:37" x14ac:dyDescent="0.25">
      <c r="A6" s="54" t="s">
        <v>45</v>
      </c>
      <c r="B6" s="94">
        <v>13131.7</v>
      </c>
      <c r="C6" s="94">
        <v>507.6</v>
      </c>
      <c r="D6" s="93">
        <v>16881</v>
      </c>
      <c r="E6" s="93">
        <v>992.1</v>
      </c>
      <c r="F6" s="94">
        <v>15789.5</v>
      </c>
      <c r="G6" s="94">
        <v>2236.5</v>
      </c>
      <c r="H6" s="93">
        <v>14904.1</v>
      </c>
      <c r="I6" s="93">
        <v>1673.2</v>
      </c>
      <c r="J6" s="94">
        <v>13017.2</v>
      </c>
      <c r="K6" s="94">
        <v>1435.7</v>
      </c>
      <c r="L6" s="93">
        <v>11177.6</v>
      </c>
      <c r="M6" s="93">
        <v>839.6</v>
      </c>
      <c r="N6" s="94">
        <v>9791.7000000000007</v>
      </c>
      <c r="O6" s="94">
        <v>492.8</v>
      </c>
      <c r="P6" s="93">
        <v>9108.6</v>
      </c>
      <c r="Q6" s="93">
        <v>713.2</v>
      </c>
      <c r="R6" s="94">
        <v>9087</v>
      </c>
      <c r="S6" s="94">
        <v>683</v>
      </c>
      <c r="T6" s="93">
        <v>8601.5</v>
      </c>
      <c r="U6" s="93">
        <v>542.9</v>
      </c>
      <c r="V6" s="94">
        <v>8103.9</v>
      </c>
      <c r="W6" s="94">
        <v>338.9</v>
      </c>
      <c r="X6" s="93">
        <v>7627.4</v>
      </c>
      <c r="Y6" s="93">
        <v>564.9</v>
      </c>
      <c r="Z6" s="57">
        <v>7419.7</v>
      </c>
      <c r="AA6" s="57">
        <v>601</v>
      </c>
      <c r="AB6" s="95">
        <v>7414.8</v>
      </c>
      <c r="AC6" s="95">
        <v>579.20000000000005</v>
      </c>
      <c r="AD6" s="57">
        <v>7362</v>
      </c>
      <c r="AE6" s="57">
        <v>360.7</v>
      </c>
      <c r="AF6" s="95">
        <v>7636.4</v>
      </c>
      <c r="AG6" s="95">
        <v>500.2</v>
      </c>
      <c r="AH6" s="57">
        <v>7903.6</v>
      </c>
      <c r="AI6" s="57">
        <v>936.7</v>
      </c>
      <c r="AJ6" s="95">
        <v>7993.1</v>
      </c>
      <c r="AK6" s="95">
        <v>857.6</v>
      </c>
    </row>
    <row r="7" spans="1:37" x14ac:dyDescent="0.25">
      <c r="A7" s="54" t="s">
        <v>46</v>
      </c>
      <c r="B7" s="94">
        <v>14776.9</v>
      </c>
      <c r="C7" s="94">
        <v>389.4</v>
      </c>
      <c r="D7" s="93">
        <v>18492.3</v>
      </c>
      <c r="E7" s="93">
        <v>619.20000000000005</v>
      </c>
      <c r="F7" s="94">
        <v>16830.599999999999</v>
      </c>
      <c r="G7" s="94">
        <v>2076.5</v>
      </c>
      <c r="H7" s="93">
        <v>15305.9</v>
      </c>
      <c r="I7" s="93">
        <v>1181.4000000000001</v>
      </c>
      <c r="J7" s="94">
        <v>13017.5</v>
      </c>
      <c r="K7" s="94">
        <v>1088.5</v>
      </c>
      <c r="L7" s="93">
        <v>10769.6</v>
      </c>
      <c r="M7" s="93">
        <v>683.7</v>
      </c>
      <c r="N7" s="94">
        <v>9396.5</v>
      </c>
      <c r="O7" s="94">
        <v>412.2</v>
      </c>
      <c r="P7" s="93">
        <v>8185.9</v>
      </c>
      <c r="Q7" s="93">
        <v>403.4</v>
      </c>
      <c r="R7" s="94">
        <v>7474</v>
      </c>
      <c r="S7" s="94">
        <v>423.4</v>
      </c>
      <c r="T7" s="93">
        <v>6740.1</v>
      </c>
      <c r="U7" s="93">
        <v>473.9</v>
      </c>
      <c r="V7" s="94">
        <v>6264.2</v>
      </c>
      <c r="W7" s="94">
        <v>289.5</v>
      </c>
      <c r="X7" s="93">
        <v>5803.7</v>
      </c>
      <c r="Y7" s="93">
        <v>354.4</v>
      </c>
      <c r="Z7" s="57">
        <v>5407.2</v>
      </c>
      <c r="AA7" s="57">
        <v>291.10000000000002</v>
      </c>
      <c r="AB7" s="95">
        <v>4951.1000000000004</v>
      </c>
      <c r="AC7" s="95">
        <v>357.9</v>
      </c>
      <c r="AD7" s="57">
        <v>4485.8</v>
      </c>
      <c r="AE7" s="57">
        <v>274.8</v>
      </c>
      <c r="AF7" s="95">
        <v>4372.6000000000004</v>
      </c>
      <c r="AG7" s="95">
        <v>339.9</v>
      </c>
      <c r="AH7" s="57">
        <v>4337.3999999999996</v>
      </c>
      <c r="AI7" s="57">
        <v>568.6</v>
      </c>
      <c r="AJ7" s="95">
        <v>4076.2</v>
      </c>
      <c r="AK7" s="95">
        <v>475.7</v>
      </c>
    </row>
    <row r="8" spans="1:37" x14ac:dyDescent="0.25">
      <c r="A8" s="53" t="s">
        <v>47</v>
      </c>
      <c r="B8" s="97">
        <f>SUM(B6:B7)</f>
        <v>27908.6</v>
      </c>
      <c r="C8" s="97">
        <f t="shared" ref="C8:E8" si="0">SUM(C6:C7)</f>
        <v>897</v>
      </c>
      <c r="D8" s="96">
        <f>SUM(D6:D7)</f>
        <v>35373.300000000003</v>
      </c>
      <c r="E8" s="96">
        <f t="shared" si="0"/>
        <v>1611.3000000000002</v>
      </c>
      <c r="F8" s="97">
        <f>SUM(F6:F7)</f>
        <v>32620.1</v>
      </c>
      <c r="G8" s="97">
        <f t="shared" ref="G8" si="1">SUM(G6:G7)</f>
        <v>4313</v>
      </c>
      <c r="H8" s="96">
        <f>SUM(H6:H7)</f>
        <v>30210</v>
      </c>
      <c r="I8" s="96">
        <f t="shared" ref="I8" si="2">SUM(I6:I7)</f>
        <v>2854.6000000000004</v>
      </c>
      <c r="J8" s="97">
        <f>SUM(J6:J7)</f>
        <v>26034.7</v>
      </c>
      <c r="K8" s="97">
        <f t="shared" ref="K8" si="3">SUM(K6:K7)</f>
        <v>2524.1999999999998</v>
      </c>
      <c r="L8" s="96">
        <f>SUM(L6:L7)</f>
        <v>21947.200000000001</v>
      </c>
      <c r="M8" s="96">
        <f t="shared" ref="M8" si="4">SUM(M6:M7)</f>
        <v>1523.3000000000002</v>
      </c>
      <c r="N8" s="97">
        <f>SUM(N6:N7)</f>
        <v>19188.2</v>
      </c>
      <c r="O8" s="97">
        <f t="shared" ref="O8:Q8" si="5">SUM(O6:O7)</f>
        <v>905</v>
      </c>
      <c r="P8" s="96">
        <f>SUM(P6:P7)</f>
        <v>17294.5</v>
      </c>
      <c r="Q8" s="96">
        <f t="shared" si="5"/>
        <v>1116.5999999999999</v>
      </c>
      <c r="R8" s="97">
        <f>SUM(R6:R7)</f>
        <v>16561</v>
      </c>
      <c r="S8" s="97">
        <f t="shared" ref="S8" si="6">SUM(S6:S7)</f>
        <v>1106.4000000000001</v>
      </c>
      <c r="T8" s="96">
        <f>SUM(T6:T7)</f>
        <v>15341.6</v>
      </c>
      <c r="U8" s="96">
        <f t="shared" ref="U8:W8" si="7">SUM(U6:U7)</f>
        <v>1016.8</v>
      </c>
      <c r="V8" s="97">
        <f>SUM(V6:V7)</f>
        <v>14368.099999999999</v>
      </c>
      <c r="W8" s="97">
        <f t="shared" si="7"/>
        <v>628.4</v>
      </c>
      <c r="X8" s="96">
        <f>SUM(X6:X7)</f>
        <v>13431.099999999999</v>
      </c>
      <c r="Y8" s="96">
        <f t="shared" ref="Y8:AK8" si="8">SUM(Y6:Y7)</f>
        <v>919.3</v>
      </c>
      <c r="Z8" s="59">
        <f t="shared" si="8"/>
        <v>12826.9</v>
      </c>
      <c r="AA8" s="59">
        <f t="shared" si="8"/>
        <v>892.1</v>
      </c>
      <c r="AB8" s="96">
        <f t="shared" si="8"/>
        <v>12365.900000000001</v>
      </c>
      <c r="AC8" s="96">
        <f t="shared" si="8"/>
        <v>937.1</v>
      </c>
      <c r="AD8" s="59">
        <f t="shared" si="8"/>
        <v>11847.8</v>
      </c>
      <c r="AE8" s="59">
        <f t="shared" si="8"/>
        <v>635.5</v>
      </c>
      <c r="AF8" s="96">
        <f t="shared" si="8"/>
        <v>12009</v>
      </c>
      <c r="AG8" s="96">
        <v>840.1</v>
      </c>
      <c r="AH8" s="59">
        <f t="shared" si="8"/>
        <v>12241</v>
      </c>
      <c r="AI8" s="59">
        <f t="shared" si="8"/>
        <v>1505.3000000000002</v>
      </c>
      <c r="AJ8" s="96">
        <f t="shared" si="8"/>
        <v>12069.3</v>
      </c>
      <c r="AK8" s="96">
        <f t="shared" si="8"/>
        <v>1333.3</v>
      </c>
    </row>
    <row r="9" spans="1:37" x14ac:dyDescent="0.25">
      <c r="A9" s="54" t="s">
        <v>48</v>
      </c>
      <c r="B9" s="94">
        <v>6749.5</v>
      </c>
      <c r="C9" s="94">
        <v>683.5</v>
      </c>
      <c r="D9" s="93">
        <v>6945.2</v>
      </c>
      <c r="E9" s="93">
        <v>767.8</v>
      </c>
      <c r="F9" s="94">
        <v>4875.8</v>
      </c>
      <c r="G9" s="94">
        <v>634.79999999999995</v>
      </c>
      <c r="H9" s="93">
        <v>4427.6000000000004</v>
      </c>
      <c r="I9" s="93">
        <v>458.8</v>
      </c>
      <c r="J9" s="94">
        <v>3610.9</v>
      </c>
      <c r="K9" s="94">
        <v>478.6</v>
      </c>
      <c r="L9" s="93">
        <v>2793.9</v>
      </c>
      <c r="M9" s="93">
        <v>214.1</v>
      </c>
      <c r="N9" s="94">
        <v>2421.3000000000002</v>
      </c>
      <c r="O9" s="94">
        <v>155.19999999999999</v>
      </c>
      <c r="P9" s="93">
        <v>1995.9</v>
      </c>
      <c r="Q9" s="93">
        <v>318.3</v>
      </c>
      <c r="R9" s="94">
        <v>1837.5</v>
      </c>
      <c r="S9" s="94">
        <v>315.8</v>
      </c>
      <c r="T9" s="93">
        <v>1761.6</v>
      </c>
      <c r="U9" s="93">
        <v>114.1</v>
      </c>
      <c r="V9" s="94">
        <v>1649</v>
      </c>
      <c r="W9" s="94">
        <v>86.3</v>
      </c>
      <c r="X9" s="93">
        <v>1467.1</v>
      </c>
      <c r="Y9" s="93">
        <v>133.5</v>
      </c>
      <c r="Z9" s="57">
        <v>1474.2</v>
      </c>
      <c r="AA9" s="57">
        <v>185</v>
      </c>
      <c r="AB9" s="95">
        <v>1623.3</v>
      </c>
      <c r="AC9" s="95">
        <v>229.8</v>
      </c>
      <c r="AD9" s="57">
        <v>1762.2</v>
      </c>
      <c r="AE9" s="57">
        <v>94.1</v>
      </c>
      <c r="AF9" s="95">
        <v>1846.9</v>
      </c>
      <c r="AG9" s="95">
        <v>185.7</v>
      </c>
      <c r="AH9" s="57">
        <v>1851.9</v>
      </c>
      <c r="AI9" s="57">
        <v>366.5</v>
      </c>
      <c r="AJ9" s="95">
        <v>1667.8</v>
      </c>
      <c r="AK9" s="95">
        <v>298</v>
      </c>
    </row>
    <row r="10" spans="1:37" x14ac:dyDescent="0.25">
      <c r="A10" s="54" t="s">
        <v>117</v>
      </c>
      <c r="B10" s="94">
        <v>1689.6</v>
      </c>
      <c r="C10" s="94">
        <v>-289.60000000000002</v>
      </c>
      <c r="D10" s="93">
        <v>2042.5</v>
      </c>
      <c r="E10" s="93">
        <v>-312.3</v>
      </c>
      <c r="F10" s="94">
        <v>1765.7</v>
      </c>
      <c r="G10" s="94">
        <v>-125.1</v>
      </c>
      <c r="H10" s="93">
        <v>1554.8</v>
      </c>
      <c r="I10" s="93">
        <v>-26.1</v>
      </c>
      <c r="J10" s="94">
        <v>1287.7</v>
      </c>
      <c r="K10" s="94">
        <v>-88.7</v>
      </c>
      <c r="L10" s="93">
        <v>988.8</v>
      </c>
      <c r="M10" s="93">
        <v>-50.3</v>
      </c>
      <c r="N10" s="94">
        <v>864.5</v>
      </c>
      <c r="O10" s="94">
        <v>32.5</v>
      </c>
      <c r="P10" s="93">
        <v>609.1</v>
      </c>
      <c r="Q10" s="93">
        <v>61.3</v>
      </c>
      <c r="R10" s="94">
        <v>0</v>
      </c>
      <c r="S10" s="94">
        <v>0</v>
      </c>
      <c r="T10" s="93">
        <v>0</v>
      </c>
      <c r="U10" s="93">
        <v>0</v>
      </c>
      <c r="V10" s="94">
        <v>0</v>
      </c>
      <c r="W10" s="94">
        <v>0</v>
      </c>
      <c r="X10" s="93">
        <v>0</v>
      </c>
      <c r="Y10" s="93">
        <v>0</v>
      </c>
      <c r="Z10" s="57">
        <v>0</v>
      </c>
      <c r="AA10" s="57">
        <v>0</v>
      </c>
      <c r="AB10" s="95">
        <v>0</v>
      </c>
      <c r="AC10" s="95">
        <v>0</v>
      </c>
      <c r="AD10" s="57">
        <v>0</v>
      </c>
      <c r="AE10" s="57">
        <v>0</v>
      </c>
      <c r="AF10" s="95">
        <v>0</v>
      </c>
      <c r="AG10" s="95">
        <v>0</v>
      </c>
      <c r="AH10" s="57">
        <v>0</v>
      </c>
      <c r="AI10" s="57">
        <v>0</v>
      </c>
      <c r="AJ10" s="95">
        <v>0</v>
      </c>
      <c r="AK10" s="95">
        <v>0</v>
      </c>
    </row>
    <row r="11" spans="1:37" x14ac:dyDescent="0.25">
      <c r="A11" s="54" t="s">
        <v>49</v>
      </c>
      <c r="B11" s="94">
        <v>2</v>
      </c>
      <c r="C11" s="94">
        <v>-9.3000000000000007</v>
      </c>
      <c r="D11" s="93">
        <v>7.7</v>
      </c>
      <c r="E11" s="93">
        <v>-1.4</v>
      </c>
      <c r="F11" s="94">
        <v>0</v>
      </c>
      <c r="G11" s="94">
        <v>0</v>
      </c>
      <c r="H11" s="93">
        <v>0</v>
      </c>
      <c r="I11" s="93">
        <v>0</v>
      </c>
      <c r="J11" s="94">
        <v>0</v>
      </c>
      <c r="K11" s="94">
        <v>0.9</v>
      </c>
      <c r="L11" s="93">
        <v>0</v>
      </c>
      <c r="M11" s="93">
        <v>-0.2</v>
      </c>
      <c r="N11" s="94">
        <v>0</v>
      </c>
      <c r="O11" s="94">
        <v>-1.6</v>
      </c>
      <c r="P11" s="93">
        <v>-0.4</v>
      </c>
      <c r="Q11" s="93">
        <v>-1</v>
      </c>
      <c r="R11" s="94">
        <v>0</v>
      </c>
      <c r="S11" s="94">
        <v>-11.9</v>
      </c>
      <c r="T11" s="93">
        <v>0.2</v>
      </c>
      <c r="U11" s="93">
        <v>-10.8</v>
      </c>
      <c r="V11" s="94">
        <v>0.9</v>
      </c>
      <c r="W11" s="94">
        <v>-5.8</v>
      </c>
      <c r="X11" s="93">
        <v>4.5999999999999996</v>
      </c>
      <c r="Y11" s="93">
        <v>-5.5</v>
      </c>
      <c r="Z11" s="57">
        <v>13.7</v>
      </c>
      <c r="AA11" s="57">
        <v>6.4</v>
      </c>
      <c r="AB11" s="95">
        <v>23.6</v>
      </c>
      <c r="AC11" s="95">
        <v>8.6999999999999993</v>
      </c>
      <c r="AD11" s="57">
        <v>21.4</v>
      </c>
      <c r="AE11" s="57">
        <v>5.3</v>
      </c>
      <c r="AF11" s="95">
        <v>21.5</v>
      </c>
      <c r="AG11" s="95">
        <v>-0.7</v>
      </c>
      <c r="AH11" s="57">
        <v>25</v>
      </c>
      <c r="AI11" s="57">
        <v>6.5</v>
      </c>
      <c r="AJ11" s="95">
        <v>27.3</v>
      </c>
      <c r="AK11" s="95">
        <v>7.9</v>
      </c>
    </row>
    <row r="12" spans="1:37" x14ac:dyDescent="0.25">
      <c r="A12" s="54" t="s">
        <v>50</v>
      </c>
      <c r="B12" s="97">
        <f>SUM(B8:B11)</f>
        <v>36349.699999999997</v>
      </c>
      <c r="C12" s="97">
        <f t="shared" ref="C12:E12" si="9">SUM(C8:C11)</f>
        <v>1281.6000000000001</v>
      </c>
      <c r="D12" s="96">
        <f>SUM(D8:D11)</f>
        <v>44368.7</v>
      </c>
      <c r="E12" s="96">
        <f t="shared" si="9"/>
        <v>2065.4</v>
      </c>
      <c r="F12" s="97">
        <f>SUM(F8:F11)</f>
        <v>39261.599999999999</v>
      </c>
      <c r="G12" s="97">
        <f t="shared" ref="G12" si="10">SUM(G8:G11)</f>
        <v>4822.7</v>
      </c>
      <c r="H12" s="96">
        <f>SUM(H8:H11)</f>
        <v>36192.400000000001</v>
      </c>
      <c r="I12" s="96">
        <f t="shared" ref="I12" si="11">SUM(I8:I11)</f>
        <v>3287.3000000000006</v>
      </c>
      <c r="J12" s="97">
        <f>SUM(J8:J11)</f>
        <v>30933.300000000003</v>
      </c>
      <c r="K12" s="97">
        <f t="shared" ref="K12" si="12">SUM(K8:K11)</f>
        <v>2915</v>
      </c>
      <c r="L12" s="96">
        <f>SUM(L8:L11)</f>
        <v>25729.9</v>
      </c>
      <c r="M12" s="96">
        <f t="shared" ref="M12" si="13">SUM(M8:M11)</f>
        <v>1686.9</v>
      </c>
      <c r="N12" s="97">
        <f>SUM(N8:N11)</f>
        <v>22474</v>
      </c>
      <c r="O12" s="97">
        <f t="shared" ref="O12:Q12" si="14">SUM(O8:O11)</f>
        <v>1091.1000000000001</v>
      </c>
      <c r="P12" s="96">
        <f>SUM(P8:P11)</f>
        <v>19899.099999999999</v>
      </c>
      <c r="Q12" s="96">
        <f t="shared" si="14"/>
        <v>1495.1999999999998</v>
      </c>
      <c r="R12" s="97">
        <f>SUM(R8:R11)</f>
        <v>18398.5</v>
      </c>
      <c r="S12" s="97">
        <f t="shared" ref="S12" si="15">SUM(S8:S11)</f>
        <v>1410.3</v>
      </c>
      <c r="T12" s="96">
        <f>SUM(T8:T11)</f>
        <v>17103.400000000001</v>
      </c>
      <c r="U12" s="96">
        <f t="shared" ref="U12:W12" si="16">SUM(U8:U11)</f>
        <v>1120.0999999999999</v>
      </c>
      <c r="V12" s="97">
        <f>SUM(V8:V11)</f>
        <v>16017.999999999998</v>
      </c>
      <c r="W12" s="97">
        <f t="shared" si="16"/>
        <v>708.9</v>
      </c>
      <c r="X12" s="96">
        <f>SUM(X8:X11)</f>
        <v>14902.8</v>
      </c>
      <c r="Y12" s="96">
        <f t="shared" ref="Y12:AK12" si="17">SUM(Y8:Y11)</f>
        <v>1047.3</v>
      </c>
      <c r="Z12" s="59">
        <f t="shared" si="17"/>
        <v>14314.800000000001</v>
      </c>
      <c r="AA12" s="59">
        <f t="shared" si="17"/>
        <v>1083.5</v>
      </c>
      <c r="AB12" s="96">
        <f t="shared" si="17"/>
        <v>14012.800000000001</v>
      </c>
      <c r="AC12" s="96">
        <f t="shared" si="17"/>
        <v>1175.6000000000001</v>
      </c>
      <c r="AD12" s="59">
        <f t="shared" si="17"/>
        <v>13631.4</v>
      </c>
      <c r="AE12" s="59">
        <f t="shared" si="17"/>
        <v>734.9</v>
      </c>
      <c r="AF12" s="96">
        <f t="shared" si="17"/>
        <v>13877.4</v>
      </c>
      <c r="AG12" s="96">
        <f>SUM(AG8:AG11)</f>
        <v>1025.0999999999999</v>
      </c>
      <c r="AH12" s="59">
        <f t="shared" si="17"/>
        <v>14117.9</v>
      </c>
      <c r="AI12" s="59">
        <f t="shared" si="17"/>
        <v>1878.3000000000002</v>
      </c>
      <c r="AJ12" s="96">
        <f t="shared" si="17"/>
        <v>13764.399999999998</v>
      </c>
      <c r="AK12" s="96">
        <f t="shared" si="17"/>
        <v>1639.2</v>
      </c>
    </row>
    <row r="13" spans="1:37" x14ac:dyDescent="0.25">
      <c r="A13" s="54" t="s">
        <v>114</v>
      </c>
      <c r="B13" s="94">
        <v>531.9</v>
      </c>
      <c r="C13" s="94">
        <v>0</v>
      </c>
      <c r="D13" s="93">
        <v>691.8</v>
      </c>
      <c r="E13" s="93">
        <v>0</v>
      </c>
      <c r="F13" s="94">
        <v>603.5</v>
      </c>
      <c r="G13" s="94">
        <v>0</v>
      </c>
      <c r="H13" s="93">
        <v>563.70000000000005</v>
      </c>
      <c r="I13" s="93">
        <v>0</v>
      </c>
      <c r="J13" s="94">
        <v>472.2</v>
      </c>
      <c r="K13" s="94">
        <v>0</v>
      </c>
      <c r="L13" s="93">
        <v>370.6</v>
      </c>
      <c r="M13" s="93">
        <v>0</v>
      </c>
      <c r="N13" s="94">
        <v>332.5</v>
      </c>
      <c r="O13" s="94">
        <v>0</v>
      </c>
      <c r="P13" s="93">
        <v>302</v>
      </c>
      <c r="Q13" s="93">
        <v>0</v>
      </c>
      <c r="R13" s="94">
        <v>309.10000000000002</v>
      </c>
      <c r="S13" s="94">
        <v>0</v>
      </c>
      <c r="T13" s="93">
        <v>291.8</v>
      </c>
      <c r="U13" s="93">
        <v>0</v>
      </c>
      <c r="V13" s="94">
        <v>281.8</v>
      </c>
      <c r="W13" s="94">
        <v>0</v>
      </c>
      <c r="X13" s="206" t="s">
        <v>257</v>
      </c>
      <c r="Y13" s="206"/>
      <c r="Z13" s="206"/>
      <c r="AA13" s="206"/>
      <c r="AB13" s="206"/>
      <c r="AC13" s="206"/>
      <c r="AD13" s="206"/>
      <c r="AE13" s="206"/>
      <c r="AF13" s="206"/>
      <c r="AG13" s="206"/>
      <c r="AH13" s="206"/>
      <c r="AI13" s="206"/>
      <c r="AJ13" s="206"/>
      <c r="AK13" s="206"/>
    </row>
    <row r="14" spans="1:37" x14ac:dyDescent="0.25">
      <c r="A14" s="54" t="s">
        <v>51</v>
      </c>
      <c r="B14" s="94">
        <v>230.5</v>
      </c>
      <c r="C14" s="94">
        <v>9</v>
      </c>
      <c r="D14" s="93">
        <v>271.39999999999998</v>
      </c>
      <c r="E14" s="93">
        <v>18.600000000000001</v>
      </c>
      <c r="F14" s="94">
        <v>226.4</v>
      </c>
      <c r="G14" s="94">
        <v>20.9</v>
      </c>
      <c r="H14" s="93">
        <v>195</v>
      </c>
      <c r="I14" s="93">
        <v>16.100000000000001</v>
      </c>
      <c r="J14" s="94">
        <v>158.5</v>
      </c>
      <c r="K14" s="94">
        <v>24.4</v>
      </c>
      <c r="L14" s="93">
        <v>126.8</v>
      </c>
      <c r="M14" s="93">
        <v>17.3</v>
      </c>
      <c r="N14" s="94">
        <v>103.3</v>
      </c>
      <c r="O14" s="94">
        <v>11.3</v>
      </c>
      <c r="P14" s="93">
        <v>86.3</v>
      </c>
      <c r="Q14" s="93">
        <v>8.8000000000000007</v>
      </c>
      <c r="R14" s="94">
        <v>56</v>
      </c>
      <c r="S14" s="94">
        <v>5.0999999999999996</v>
      </c>
      <c r="T14" s="93">
        <v>39.6</v>
      </c>
      <c r="U14" s="93">
        <v>0.8</v>
      </c>
      <c r="V14" s="94">
        <v>36.1</v>
      </c>
      <c r="W14" s="94">
        <v>0</v>
      </c>
      <c r="X14" s="93">
        <v>22.8</v>
      </c>
      <c r="Y14" s="93">
        <v>3.4</v>
      </c>
      <c r="Z14" s="57">
        <v>25.9</v>
      </c>
      <c r="AA14" s="57">
        <v>4.5</v>
      </c>
      <c r="AB14" s="95">
        <v>16.7</v>
      </c>
      <c r="AC14" s="95">
        <v>-2.7</v>
      </c>
      <c r="AD14" s="57">
        <v>16.100000000000001</v>
      </c>
      <c r="AE14" s="57">
        <v>-4.3</v>
      </c>
      <c r="AF14" s="95">
        <v>22.3</v>
      </c>
      <c r="AG14" s="95">
        <v>1.8</v>
      </c>
      <c r="AH14" s="57">
        <v>30.4</v>
      </c>
      <c r="AI14" s="57">
        <v>6</v>
      </c>
      <c r="AJ14" s="95">
        <v>40.200000000000003</v>
      </c>
      <c r="AK14" s="95">
        <v>15.6</v>
      </c>
    </row>
    <row r="15" spans="1:37" x14ac:dyDescent="0.25">
      <c r="A15" s="54" t="s">
        <v>55</v>
      </c>
      <c r="B15" s="94">
        <v>-971.2</v>
      </c>
      <c r="C15" s="94">
        <v>-988.6</v>
      </c>
      <c r="D15" s="93">
        <v>2370.1</v>
      </c>
      <c r="E15" s="93">
        <v>2344.6</v>
      </c>
      <c r="F15" s="94">
        <v>2566.6</v>
      </c>
      <c r="G15" s="94">
        <v>2546.6</v>
      </c>
      <c r="H15" s="93">
        <v>2071.1999999999998</v>
      </c>
      <c r="I15" s="93">
        <v>2046.6</v>
      </c>
      <c r="J15" s="94">
        <v>415</v>
      </c>
      <c r="K15" s="94">
        <v>390.7</v>
      </c>
      <c r="L15" s="93">
        <v>612.70000000000005</v>
      </c>
      <c r="M15" s="93">
        <v>588.79999999999995</v>
      </c>
      <c r="N15" s="94">
        <v>530</v>
      </c>
      <c r="O15" s="94">
        <v>507.6</v>
      </c>
      <c r="P15" s="93">
        <v>567.29999999999995</v>
      </c>
      <c r="Q15" s="93">
        <v>544.5</v>
      </c>
      <c r="R15" s="94">
        <v>632.6</v>
      </c>
      <c r="S15" s="94">
        <v>613.70000000000005</v>
      </c>
      <c r="T15" s="93">
        <v>740.4</v>
      </c>
      <c r="U15" s="93">
        <v>721.6</v>
      </c>
      <c r="V15" s="94">
        <v>749.8</v>
      </c>
      <c r="W15" s="94">
        <v>734.4</v>
      </c>
      <c r="X15" s="93">
        <v>582.6</v>
      </c>
      <c r="Y15" s="93">
        <v>569.1</v>
      </c>
      <c r="Z15" s="57">
        <v>616.20000000000005</v>
      </c>
      <c r="AA15" s="57">
        <v>604.29999999999995</v>
      </c>
      <c r="AB15" s="95">
        <v>534.1</v>
      </c>
      <c r="AC15" s="95">
        <v>523</v>
      </c>
      <c r="AD15" s="57">
        <v>-807.4</v>
      </c>
      <c r="AE15" s="57">
        <v>-816.2</v>
      </c>
      <c r="AF15" s="95">
        <v>787.1</v>
      </c>
      <c r="AG15" s="95">
        <v>774.7</v>
      </c>
      <c r="AH15" s="57">
        <v>638.1</v>
      </c>
      <c r="AI15" s="57">
        <v>626.20000000000005</v>
      </c>
      <c r="AJ15" s="95">
        <v>498.8</v>
      </c>
      <c r="AK15" s="95">
        <v>486.7</v>
      </c>
    </row>
    <row r="16" spans="1:37" x14ac:dyDescent="0.25">
      <c r="A16" s="54" t="s">
        <v>57</v>
      </c>
      <c r="B16" s="94">
        <v>0</v>
      </c>
      <c r="C16" s="94">
        <v>0</v>
      </c>
      <c r="D16" s="93">
        <v>0</v>
      </c>
      <c r="E16" s="93">
        <v>0</v>
      </c>
      <c r="F16" s="94">
        <v>0</v>
      </c>
      <c r="G16" s="94">
        <v>0</v>
      </c>
      <c r="H16" s="93">
        <v>0</v>
      </c>
      <c r="I16" s="93">
        <v>0</v>
      </c>
      <c r="J16" s="94">
        <v>0</v>
      </c>
      <c r="K16" s="94">
        <v>0</v>
      </c>
      <c r="L16" s="93">
        <v>-1</v>
      </c>
      <c r="M16" s="93">
        <v>-1</v>
      </c>
      <c r="N16" s="94">
        <v>1.6</v>
      </c>
      <c r="O16" s="94">
        <v>1.6</v>
      </c>
      <c r="P16" s="93">
        <v>-0.9</v>
      </c>
      <c r="Q16" s="93">
        <v>-0.9</v>
      </c>
      <c r="R16" s="94">
        <v>-4.8</v>
      </c>
      <c r="S16" s="94">
        <v>-4.8</v>
      </c>
      <c r="T16" s="93">
        <v>-4.3</v>
      </c>
      <c r="U16" s="93">
        <v>-4.3</v>
      </c>
      <c r="V16" s="94">
        <v>-1.8</v>
      </c>
      <c r="W16" s="94">
        <v>-1.8</v>
      </c>
      <c r="X16" s="93">
        <v>-0.1</v>
      </c>
      <c r="Y16" s="93">
        <v>-0.1</v>
      </c>
      <c r="Z16" s="57">
        <v>6.4</v>
      </c>
      <c r="AA16" s="57">
        <v>6.4</v>
      </c>
      <c r="AB16" s="95">
        <v>0</v>
      </c>
      <c r="AC16" s="95">
        <v>0</v>
      </c>
      <c r="AD16" s="57">
        <v>0</v>
      </c>
      <c r="AE16" s="57">
        <v>0</v>
      </c>
      <c r="AF16" s="95">
        <v>0</v>
      </c>
      <c r="AG16" s="95">
        <v>0</v>
      </c>
      <c r="AH16" s="57">
        <v>0</v>
      </c>
      <c r="AI16" s="57">
        <v>0</v>
      </c>
      <c r="AJ16" s="95">
        <v>0</v>
      </c>
      <c r="AK16" s="95">
        <v>0</v>
      </c>
    </row>
    <row r="17" spans="1:37" x14ac:dyDescent="0.25">
      <c r="A17" s="54" t="s">
        <v>363</v>
      </c>
      <c r="B17" s="94">
        <v>0</v>
      </c>
      <c r="C17" s="94">
        <v>-224.8</v>
      </c>
      <c r="D17" s="93">
        <v>0</v>
      </c>
      <c r="E17" s="93">
        <v>0</v>
      </c>
      <c r="F17" s="94">
        <v>0</v>
      </c>
      <c r="G17" s="94">
        <v>0</v>
      </c>
      <c r="H17" s="93">
        <v>0</v>
      </c>
      <c r="I17" s="93">
        <v>0</v>
      </c>
      <c r="J17" s="94">
        <v>0</v>
      </c>
      <c r="K17" s="94">
        <v>0</v>
      </c>
      <c r="L17" s="93">
        <v>0</v>
      </c>
      <c r="M17" s="93">
        <v>0</v>
      </c>
      <c r="N17" s="94">
        <v>0</v>
      </c>
      <c r="O17" s="94">
        <v>0</v>
      </c>
      <c r="P17" s="93">
        <v>0</v>
      </c>
      <c r="Q17" s="93">
        <v>0</v>
      </c>
      <c r="R17" s="94">
        <v>0</v>
      </c>
      <c r="S17" s="94">
        <v>0</v>
      </c>
      <c r="T17" s="93">
        <v>0</v>
      </c>
      <c r="U17" s="93">
        <v>0</v>
      </c>
      <c r="V17" s="94">
        <v>0</v>
      </c>
      <c r="W17" s="94">
        <v>0</v>
      </c>
      <c r="X17" s="93">
        <v>0</v>
      </c>
      <c r="Y17" s="93">
        <v>0</v>
      </c>
      <c r="Z17" s="57">
        <v>0</v>
      </c>
      <c r="AA17" s="57">
        <v>0</v>
      </c>
      <c r="AB17" s="95">
        <v>0</v>
      </c>
      <c r="AC17" s="95">
        <v>0</v>
      </c>
      <c r="AD17" s="57">
        <v>0</v>
      </c>
      <c r="AE17" s="57">
        <v>0</v>
      </c>
      <c r="AF17" s="95">
        <v>0</v>
      </c>
      <c r="AG17" s="95">
        <v>0</v>
      </c>
      <c r="AH17" s="57">
        <v>0</v>
      </c>
      <c r="AI17" s="57">
        <v>0</v>
      </c>
      <c r="AJ17" s="95">
        <v>0</v>
      </c>
      <c r="AK17" s="95">
        <v>0</v>
      </c>
    </row>
    <row r="18" spans="1:37" x14ac:dyDescent="0.25">
      <c r="A18" s="54" t="s">
        <v>56</v>
      </c>
      <c r="B18" s="99">
        <v>0</v>
      </c>
      <c r="C18" s="94">
        <v>-180.4</v>
      </c>
      <c r="D18" s="98">
        <v>0</v>
      </c>
      <c r="E18" s="93">
        <v>-218.6</v>
      </c>
      <c r="F18" s="99">
        <v>0</v>
      </c>
      <c r="G18" s="94">
        <v>-217</v>
      </c>
      <c r="H18" s="98">
        <v>0</v>
      </c>
      <c r="I18" s="93">
        <v>-189.7</v>
      </c>
      <c r="J18" s="99">
        <v>0</v>
      </c>
      <c r="K18" s="94">
        <v>-166.5</v>
      </c>
      <c r="L18" s="98">
        <v>0</v>
      </c>
      <c r="M18" s="93">
        <v>-153.1</v>
      </c>
      <c r="N18" s="99">
        <v>0</v>
      </c>
      <c r="O18" s="94">
        <v>-140.9</v>
      </c>
      <c r="P18" s="98">
        <v>0</v>
      </c>
      <c r="Q18" s="93">
        <v>-136</v>
      </c>
      <c r="R18" s="99">
        <v>0</v>
      </c>
      <c r="S18" s="94">
        <v>-116.9</v>
      </c>
      <c r="T18" s="98">
        <v>0</v>
      </c>
      <c r="U18" s="93">
        <v>-118.2</v>
      </c>
      <c r="V18" s="99">
        <v>0</v>
      </c>
      <c r="W18" s="94">
        <v>-123.8</v>
      </c>
      <c r="X18" s="98" t="s">
        <v>113</v>
      </c>
      <c r="Y18" s="93">
        <v>-132.69999999999999</v>
      </c>
      <c r="Z18" s="57">
        <v>0</v>
      </c>
      <c r="AA18" s="57">
        <v>-133.5</v>
      </c>
      <c r="AB18" s="95">
        <v>0</v>
      </c>
      <c r="AC18" s="95">
        <v>-139</v>
      </c>
      <c r="AD18" s="57">
        <v>0</v>
      </c>
      <c r="AE18" s="57">
        <v>-136.69999999999999</v>
      </c>
      <c r="AF18" s="95">
        <v>0</v>
      </c>
      <c r="AG18" s="95">
        <v>-108.6</v>
      </c>
      <c r="AH18" s="57">
        <v>0</v>
      </c>
      <c r="AI18" s="57">
        <v>-77.3</v>
      </c>
      <c r="AJ18" s="95">
        <v>0</v>
      </c>
      <c r="AK18" s="95">
        <v>-82.6</v>
      </c>
    </row>
    <row r="19" spans="1:37" ht="20" thickBot="1" x14ac:dyDescent="0.3">
      <c r="A19" s="53" t="s">
        <v>52</v>
      </c>
      <c r="B19" s="101">
        <f>SUM(B12:B18)</f>
        <v>36140.9</v>
      </c>
      <c r="C19" s="101">
        <f>SUM(C12:C18)</f>
        <v>-103.1999999999999</v>
      </c>
      <c r="D19" s="100">
        <f t="shared" ref="D19:E19" si="18">SUM(D12:D18)</f>
        <v>47702</v>
      </c>
      <c r="E19" s="100">
        <f t="shared" si="18"/>
        <v>4210</v>
      </c>
      <c r="F19" s="101">
        <f t="shared" ref="F19:G19" si="19">SUM(F12:F18)</f>
        <v>42658.1</v>
      </c>
      <c r="G19" s="101">
        <f t="shared" si="19"/>
        <v>7173.1999999999989</v>
      </c>
      <c r="H19" s="100">
        <f t="shared" ref="H19:I19" si="20">SUM(H12:H18)</f>
        <v>39022.299999999996</v>
      </c>
      <c r="I19" s="100">
        <f t="shared" si="20"/>
        <v>5160.3</v>
      </c>
      <c r="J19" s="101">
        <f t="shared" ref="J19:K19" si="21">SUM(J12:J18)</f>
        <v>31979.000000000004</v>
      </c>
      <c r="K19" s="101">
        <f t="shared" si="21"/>
        <v>3163.6</v>
      </c>
      <c r="L19" s="100">
        <f t="shared" ref="L19:M19" si="22">SUM(L12:L18)</f>
        <v>26839</v>
      </c>
      <c r="M19" s="100">
        <f t="shared" si="22"/>
        <v>2138.9</v>
      </c>
      <c r="N19" s="100">
        <f t="shared" ref="N19:O19" si="23">SUM(N12:N18)</f>
        <v>23441.399999999998</v>
      </c>
      <c r="O19" s="100">
        <f t="shared" si="23"/>
        <v>1470.6999999999998</v>
      </c>
      <c r="P19" s="100">
        <f t="shared" ref="P19:S19" si="24">SUM(P12:P18)</f>
        <v>20853.799999999996</v>
      </c>
      <c r="Q19" s="100">
        <f t="shared" si="24"/>
        <v>1911.6</v>
      </c>
      <c r="R19" s="101">
        <f t="shared" si="24"/>
        <v>19391.399999999998</v>
      </c>
      <c r="S19" s="101">
        <f t="shared" si="24"/>
        <v>1907.3999999999999</v>
      </c>
      <c r="T19" s="100">
        <f t="shared" ref="T19:U19" si="25">SUM(T12:T18)</f>
        <v>18170.900000000001</v>
      </c>
      <c r="U19" s="100">
        <f t="shared" si="25"/>
        <v>1720</v>
      </c>
      <c r="V19" s="101">
        <f t="shared" ref="V19:W19" si="26">SUM(V12:V18)</f>
        <v>17083.899999999998</v>
      </c>
      <c r="W19" s="101">
        <f t="shared" si="26"/>
        <v>1317.7</v>
      </c>
      <c r="X19" s="100">
        <f t="shared" ref="X19:AK19" si="27">SUM(X12:X18)</f>
        <v>15508.099999999999</v>
      </c>
      <c r="Y19" s="100">
        <f t="shared" si="27"/>
        <v>1487.0000000000002</v>
      </c>
      <c r="Z19" s="64">
        <f t="shared" si="27"/>
        <v>14963.300000000001</v>
      </c>
      <c r="AA19" s="64">
        <f t="shared" si="27"/>
        <v>1565.2</v>
      </c>
      <c r="AB19" s="100">
        <f t="shared" si="27"/>
        <v>14563.600000000002</v>
      </c>
      <c r="AC19" s="100">
        <f t="shared" si="27"/>
        <v>1556.9</v>
      </c>
      <c r="AD19" s="64">
        <f t="shared" si="27"/>
        <v>12840.1</v>
      </c>
      <c r="AE19" s="64">
        <f t="shared" si="27"/>
        <v>-222.3</v>
      </c>
      <c r="AF19" s="100">
        <f t="shared" si="27"/>
        <v>14686.8</v>
      </c>
      <c r="AG19" s="100">
        <f t="shared" si="27"/>
        <v>1693</v>
      </c>
      <c r="AH19" s="64">
        <f t="shared" si="27"/>
        <v>14786.4</v>
      </c>
      <c r="AI19" s="64">
        <f t="shared" si="27"/>
        <v>2433.1999999999998</v>
      </c>
      <c r="AJ19" s="100">
        <f t="shared" si="27"/>
        <v>14303.399999999998</v>
      </c>
      <c r="AK19" s="100">
        <f t="shared" si="27"/>
        <v>2058.9</v>
      </c>
    </row>
    <row r="20" spans="1:37" ht="20" thickTop="1" x14ac:dyDescent="0.25">
      <c r="A20" s="53"/>
      <c r="B20" s="53"/>
      <c r="C20" s="53"/>
      <c r="D20" s="53"/>
      <c r="E20" s="53"/>
      <c r="F20" s="53"/>
      <c r="G20" s="53"/>
      <c r="H20" s="53"/>
      <c r="I20" s="53"/>
      <c r="J20" s="53"/>
      <c r="K20" s="53"/>
      <c r="L20" s="53"/>
      <c r="M20" s="53"/>
      <c r="N20" s="53"/>
      <c r="O20" s="53"/>
      <c r="P20" s="102"/>
      <c r="Q20" s="102"/>
      <c r="R20" s="102"/>
      <c r="S20" s="102"/>
      <c r="T20" s="102"/>
      <c r="U20" s="102"/>
      <c r="V20" s="102"/>
      <c r="W20" s="102"/>
      <c r="X20" s="102"/>
      <c r="Y20" s="102"/>
      <c r="Z20" s="102"/>
      <c r="AA20" s="102"/>
      <c r="AB20" s="102"/>
      <c r="AC20" s="102"/>
      <c r="AD20" s="102"/>
      <c r="AE20" s="102"/>
      <c r="AF20" s="102"/>
      <c r="AG20" s="102"/>
      <c r="AH20" s="102"/>
      <c r="AI20" s="102"/>
    </row>
    <row r="21" spans="1:37" x14ac:dyDescent="0.25">
      <c r="A21" s="53" t="s">
        <v>242</v>
      </c>
      <c r="B21" s="203">
        <f>C19/B19</f>
        <v>-2.8554905937594223E-3</v>
      </c>
      <c r="C21" s="203"/>
      <c r="D21" s="203">
        <f>E19/D19</f>
        <v>8.8256257599262089E-2</v>
      </c>
      <c r="E21" s="203"/>
      <c r="F21" s="203">
        <f>G19/F19</f>
        <v>0.1681556374990916</v>
      </c>
      <c r="G21" s="203"/>
      <c r="H21" s="203">
        <f>I19/H19</f>
        <v>0.13223977059271239</v>
      </c>
      <c r="I21" s="203"/>
      <c r="J21" s="203">
        <f>K19/J19</f>
        <v>9.8927421120110062E-2</v>
      </c>
      <c r="K21" s="203"/>
      <c r="L21" s="203">
        <f>M19/L19</f>
        <v>7.9693729274563141E-2</v>
      </c>
      <c r="M21" s="203"/>
      <c r="N21" s="203">
        <f>O19/N19</f>
        <v>6.2739426826042805E-2</v>
      </c>
      <c r="O21" s="203"/>
      <c r="P21" s="203">
        <f>Q19/P19</f>
        <v>9.1666746588151812E-2</v>
      </c>
      <c r="Q21" s="203"/>
      <c r="R21" s="203">
        <f>S19/R19</f>
        <v>9.8363191930443392E-2</v>
      </c>
      <c r="S21" s="203"/>
      <c r="T21" s="203">
        <f>U19/T19</f>
        <v>9.4656841433280681E-2</v>
      </c>
      <c r="U21" s="203"/>
      <c r="V21" s="203">
        <f>W19/V19</f>
        <v>7.7131100041559611E-2</v>
      </c>
      <c r="W21" s="203"/>
      <c r="X21" s="203">
        <f>Y19/X19</f>
        <v>9.5885376029300834E-2</v>
      </c>
      <c r="Y21" s="203"/>
      <c r="Z21" s="203">
        <f>AA19/Z19</f>
        <v>0.10460259434750356</v>
      </c>
      <c r="AA21" s="203"/>
      <c r="AB21" s="203">
        <f>AC19/AB19</f>
        <v>0.10690351286769753</v>
      </c>
      <c r="AC21" s="203"/>
      <c r="AD21" s="203">
        <f>AE19/AD19</f>
        <v>-1.731294927609598E-2</v>
      </c>
      <c r="AE21" s="203"/>
      <c r="AF21" s="203">
        <f>AG19/AF19</f>
        <v>0.11527357899610535</v>
      </c>
      <c r="AG21" s="203"/>
      <c r="AH21" s="203">
        <f>AI19/AH19</f>
        <v>0.16455661959638587</v>
      </c>
      <c r="AI21" s="203"/>
      <c r="AJ21" s="203">
        <f>AK19/AJ19</f>
        <v>0.14394479634212848</v>
      </c>
      <c r="AK21" s="203"/>
    </row>
    <row r="22" spans="1:37" x14ac:dyDescent="0.25">
      <c r="A22" s="53"/>
      <c r="B22" s="53"/>
      <c r="C22" s="53"/>
      <c r="D22" s="53"/>
      <c r="E22" s="53"/>
      <c r="F22" s="53"/>
      <c r="G22" s="53"/>
      <c r="H22" s="53"/>
      <c r="I22" s="53"/>
      <c r="J22" s="53"/>
      <c r="K22" s="53"/>
      <c r="L22" s="53"/>
      <c r="M22" s="53"/>
      <c r="N22" s="102"/>
      <c r="O22" s="102"/>
      <c r="P22" s="102"/>
      <c r="Q22" s="102"/>
      <c r="R22" s="102"/>
      <c r="S22" s="102"/>
      <c r="T22" s="102"/>
      <c r="U22" s="102"/>
      <c r="V22" s="102"/>
      <c r="W22" s="102"/>
      <c r="X22" s="102"/>
      <c r="Y22" s="102"/>
      <c r="Z22" s="102"/>
      <c r="AA22" s="102"/>
    </row>
    <row r="23" spans="1:37" x14ac:dyDescent="0.25">
      <c r="A23" s="151" t="s">
        <v>58</v>
      </c>
      <c r="B23" s="183" t="s">
        <v>364</v>
      </c>
      <c r="C23" s="104">
        <v>2021</v>
      </c>
      <c r="D23" s="104">
        <v>2020</v>
      </c>
      <c r="E23" s="104">
        <v>2019</v>
      </c>
      <c r="F23" s="104">
        <v>2018</v>
      </c>
      <c r="G23" s="104">
        <v>2017</v>
      </c>
      <c r="H23" s="104">
        <v>2016</v>
      </c>
      <c r="I23" s="104">
        <v>2015</v>
      </c>
      <c r="J23" s="104">
        <v>2014</v>
      </c>
      <c r="K23" s="104">
        <v>2013</v>
      </c>
      <c r="L23" s="104">
        <v>2012</v>
      </c>
      <c r="M23" s="104">
        <v>2011</v>
      </c>
      <c r="N23" s="104">
        <v>2010</v>
      </c>
      <c r="O23" s="104">
        <v>2009</v>
      </c>
      <c r="P23" s="104">
        <v>2008</v>
      </c>
      <c r="Q23" s="104">
        <v>2007</v>
      </c>
      <c r="R23" s="104">
        <v>2006</v>
      </c>
      <c r="S23" s="104">
        <v>2005</v>
      </c>
      <c r="T23" s="53"/>
    </row>
    <row r="24" spans="1:37" x14ac:dyDescent="0.25">
      <c r="A24" s="54" t="s">
        <v>59</v>
      </c>
      <c r="B24" s="69">
        <f>1-(C6/B6)</f>
        <v>0.96134544651492193</v>
      </c>
      <c r="C24" s="69">
        <f>1-(E6/D6)</f>
        <v>0.94122978496534571</v>
      </c>
      <c r="D24" s="69">
        <f>1-(G6/F6)</f>
        <v>0.85835523607460651</v>
      </c>
      <c r="E24" s="69">
        <f>1-(I6/H6)</f>
        <v>0.88773558953576537</v>
      </c>
      <c r="F24" s="69">
        <f>1-(K6/J6)</f>
        <v>0.8897074639707464</v>
      </c>
      <c r="G24" s="69">
        <f>1-(M6/L6)</f>
        <v>0.92488548525622671</v>
      </c>
      <c r="H24" s="69">
        <f>1-(O6/N6)</f>
        <v>0.94967166069221887</v>
      </c>
      <c r="I24" s="69">
        <f>1-(Q6/P6)</f>
        <v>0.92170037107788239</v>
      </c>
      <c r="J24" s="105">
        <f>1-(S6/R6)</f>
        <v>0.92483768020248702</v>
      </c>
      <c r="K24" s="105">
        <f>1-(U6/T6)</f>
        <v>0.93688310178457246</v>
      </c>
      <c r="L24" s="106">
        <f>1-(W6/V6)</f>
        <v>0.95818062907982582</v>
      </c>
      <c r="M24" s="106">
        <f>1-(Y6/X6)</f>
        <v>0.92593806539580981</v>
      </c>
      <c r="N24" s="106">
        <f>1-(AA6/Z6)</f>
        <v>0.91899942046174377</v>
      </c>
      <c r="O24" s="106">
        <f>1-(AC6/AB6)</f>
        <v>0.92188595781410154</v>
      </c>
      <c r="P24" s="106">
        <f>1-(AE6/AD6)</f>
        <v>0.95100516164085847</v>
      </c>
      <c r="Q24" s="106">
        <f>1-(AG6/AF6)</f>
        <v>0.93449793096223355</v>
      </c>
      <c r="R24" s="106">
        <f>1-(AI6/AH6)</f>
        <v>0.88148438686168329</v>
      </c>
      <c r="S24" s="106">
        <f>1-(AK6/AJ6)</f>
        <v>0.89270746018440905</v>
      </c>
      <c r="T24" s="105"/>
    </row>
    <row r="25" spans="1:37" x14ac:dyDescent="0.25">
      <c r="A25" s="54" t="s">
        <v>60</v>
      </c>
      <c r="B25" s="69">
        <f>1-(C7/B7)</f>
        <v>0.9736480587944697</v>
      </c>
      <c r="C25" s="69">
        <f>1-(E7/D7)</f>
        <v>0.96651579305981405</v>
      </c>
      <c r="D25" s="69">
        <f>1-(G7/F7)</f>
        <v>0.8766235309495799</v>
      </c>
      <c r="E25" s="69">
        <f>1-(I7/H7)</f>
        <v>0.92281407823127026</v>
      </c>
      <c r="F25" s="69">
        <f>1-(K7/J7)</f>
        <v>0.91638179373919726</v>
      </c>
      <c r="G25" s="69">
        <f>1-(M7/L7)</f>
        <v>0.93651574803149606</v>
      </c>
      <c r="H25" s="69">
        <f>1-(O7/N7)</f>
        <v>0.95613260256478472</v>
      </c>
      <c r="I25" s="69">
        <f>1-(Q7/P7)</f>
        <v>0.9507201407297915</v>
      </c>
      <c r="J25" s="105">
        <f>1-(S7/R7)</f>
        <v>0.94335028097404339</v>
      </c>
      <c r="K25" s="105">
        <f>1-(U7/T7)</f>
        <v>0.92968947048263384</v>
      </c>
      <c r="L25" s="105">
        <f>1-(W7/V7)</f>
        <v>0.9537850004789119</v>
      </c>
      <c r="M25" s="105">
        <f>1-(Y7/X7)</f>
        <v>0.93893550665954473</v>
      </c>
      <c r="N25" s="105">
        <f>1-(AA7/Z7)</f>
        <v>0.94616437342802184</v>
      </c>
      <c r="O25" s="107">
        <f>1-(AC7/AB7)</f>
        <v>0.92771303346731027</v>
      </c>
      <c r="P25" s="107">
        <f>1-(AE7/AD7)</f>
        <v>0.93874002407597312</v>
      </c>
      <c r="Q25" s="107">
        <f>1-(AG7/AF7)</f>
        <v>0.92226592873805058</v>
      </c>
      <c r="R25" s="107">
        <f>1-(AI7/AH7)</f>
        <v>0.86890764052197167</v>
      </c>
      <c r="S25" s="107">
        <f>1-(AK7/AJ7)</f>
        <v>0.88329816986408916</v>
      </c>
      <c r="T25" s="107"/>
    </row>
    <row r="26" spans="1:37" x14ac:dyDescent="0.25">
      <c r="A26" s="54" t="s">
        <v>78</v>
      </c>
      <c r="B26" s="69">
        <f>1-(C8/B8)</f>
        <v>0.96785936951333995</v>
      </c>
      <c r="C26" s="69">
        <f>1-(E8/D8)</f>
        <v>0.95444869435421631</v>
      </c>
      <c r="D26" s="69">
        <f>1-(G8/F8)</f>
        <v>0.86778090809041053</v>
      </c>
      <c r="E26" s="69">
        <f>1-(I8/H8)</f>
        <v>0.90550810989738495</v>
      </c>
      <c r="F26" s="69">
        <f>1-(K8/J8)</f>
        <v>0.90304478254022513</v>
      </c>
      <c r="G26" s="69">
        <f>1-(M8/L8)</f>
        <v>0.93059251294014722</v>
      </c>
      <c r="H26" s="69">
        <f>1-(O8/N8)</f>
        <v>0.9528355968772475</v>
      </c>
      <c r="I26" s="69">
        <f>1-(Q8/P8)</f>
        <v>0.93543612131024312</v>
      </c>
      <c r="J26" s="105">
        <f>1-(S8/R8)</f>
        <v>0.93319244007004409</v>
      </c>
      <c r="K26" s="105">
        <f>1-(U8/T8)</f>
        <v>0.93372268863743024</v>
      </c>
      <c r="L26" s="105">
        <f>1-(W8/V8)</f>
        <v>0.95626422421892943</v>
      </c>
      <c r="M26" s="105">
        <f>1-(Y8/X8)</f>
        <v>0.93155437752678483</v>
      </c>
      <c r="N26" s="105">
        <f>1-(AA8/Z8)</f>
        <v>0.93045084938683553</v>
      </c>
      <c r="O26" s="107">
        <f>1-(AC8/AB8)</f>
        <v>0.92421902166441583</v>
      </c>
      <c r="P26" s="107">
        <f>1-(AE8/AD8)</f>
        <v>0.94636134978645825</v>
      </c>
      <c r="Q26" s="107">
        <f>1-(AG8/AF8)</f>
        <v>0.93004413356649174</v>
      </c>
      <c r="R26" s="107">
        <f>1-(AI8/AH8)</f>
        <v>0.87702802058655338</v>
      </c>
      <c r="S26" s="107">
        <f>1-(AK8/AJ8)</f>
        <v>0.88952963303588439</v>
      </c>
      <c r="T26" s="107"/>
    </row>
    <row r="27" spans="1:37" x14ac:dyDescent="0.25">
      <c r="A27" s="54" t="s">
        <v>61</v>
      </c>
      <c r="B27" s="69">
        <f>1-(C9/B9)</f>
        <v>0.89873323949922213</v>
      </c>
      <c r="C27" s="69">
        <f>1-(E9/D9)</f>
        <v>0.88944882796751712</v>
      </c>
      <c r="D27" s="69">
        <f>1-(G9/F9)</f>
        <v>0.86980598055703684</v>
      </c>
      <c r="E27" s="69">
        <f>1-(I9/H9)</f>
        <v>0.89637726985274191</v>
      </c>
      <c r="F27" s="69">
        <f>1-(K9/J9)</f>
        <v>0.86745686670913069</v>
      </c>
      <c r="G27" s="69">
        <f>1-(M9/L9)</f>
        <v>0.92336876767242926</v>
      </c>
      <c r="H27" s="69">
        <f>1-(O9/N9)</f>
        <v>0.935902201296824</v>
      </c>
      <c r="I27" s="69">
        <f>1-(Q9/P9)</f>
        <v>0.84052307229821133</v>
      </c>
      <c r="J27" s="105">
        <f>1-(S9/R9)</f>
        <v>0.82813605442176874</v>
      </c>
      <c r="K27" s="105">
        <f>1-(U9/T9)</f>
        <v>0.93522933696639421</v>
      </c>
      <c r="L27" s="105">
        <f>1-(W9/V9)</f>
        <v>0.94766525166767734</v>
      </c>
      <c r="M27" s="105">
        <f>1-(Y9/X9)</f>
        <v>0.9090041578624497</v>
      </c>
      <c r="N27" s="105">
        <f>1-(AA9/Z9)</f>
        <v>0.87450820784154115</v>
      </c>
      <c r="O27" s="107">
        <f>1-(AC9/AB9)</f>
        <v>0.85843651820365918</v>
      </c>
      <c r="P27" s="107">
        <f>1-(AE9/AD9)</f>
        <v>0.9466008398592668</v>
      </c>
      <c r="Q27" s="107">
        <f>1-(AG9/AF9)</f>
        <v>0.89945313769018354</v>
      </c>
      <c r="R27" s="107">
        <f>1-(AI9/AH9)</f>
        <v>0.8020951455262163</v>
      </c>
      <c r="S27" s="107">
        <f>1-(AK9/AJ9)</f>
        <v>0.82132150137906224</v>
      </c>
      <c r="T27" s="107"/>
    </row>
    <row r="28" spans="1:37" x14ac:dyDescent="0.25">
      <c r="A28" s="54" t="s">
        <v>117</v>
      </c>
      <c r="B28" s="69">
        <f>1-(C10/B10)</f>
        <v>1.1714015151515151</v>
      </c>
      <c r="C28" s="69">
        <f>1-(E10/D10)</f>
        <v>1.1529008567931456</v>
      </c>
      <c r="D28" s="69">
        <f>1-(G10/F10)</f>
        <v>1.0708500877838818</v>
      </c>
      <c r="E28" s="69">
        <f>1-(I10/H10)</f>
        <v>1.016786724980705</v>
      </c>
      <c r="F28" s="69">
        <f>1-(K10/J10)</f>
        <v>1.0688825036887475</v>
      </c>
      <c r="G28" s="69">
        <f>1-(M10/L10)</f>
        <v>1.0508697411003236</v>
      </c>
      <c r="H28" s="69">
        <f>1-(O10/N10)</f>
        <v>0.96240601503759393</v>
      </c>
      <c r="I28" s="69">
        <f>1-(Q10/P10)</f>
        <v>0.89935971104908885</v>
      </c>
      <c r="J28" s="108" t="s">
        <v>120</v>
      </c>
      <c r="K28" s="108" t="s">
        <v>120</v>
      </c>
      <c r="L28" s="108" t="s">
        <v>120</v>
      </c>
      <c r="M28" s="108" t="s">
        <v>120</v>
      </c>
      <c r="N28" s="108" t="s">
        <v>120</v>
      </c>
      <c r="O28" s="108" t="s">
        <v>120</v>
      </c>
      <c r="P28" s="108" t="s">
        <v>120</v>
      </c>
      <c r="Q28" s="108" t="s">
        <v>120</v>
      </c>
      <c r="R28" s="108" t="s">
        <v>120</v>
      </c>
      <c r="S28" s="108" t="s">
        <v>120</v>
      </c>
      <c r="T28" s="107"/>
    </row>
    <row r="29" spans="1:37" x14ac:dyDescent="0.25">
      <c r="A29" s="103" t="s">
        <v>62</v>
      </c>
      <c r="B29" s="109">
        <f>1-(C12/B12)</f>
        <v>0.96474248755835679</v>
      </c>
      <c r="C29" s="109">
        <f>1-(E12/D12)</f>
        <v>0.95344916574071359</v>
      </c>
      <c r="D29" s="109">
        <f>1-(G12/F12)</f>
        <v>0.87716496525867516</v>
      </c>
      <c r="E29" s="109">
        <f>1-(I12/H12)</f>
        <v>0.90917153877609658</v>
      </c>
      <c r="F29" s="109">
        <f>1-(K12/J12)</f>
        <v>0.90576498466054378</v>
      </c>
      <c r="G29" s="109">
        <f>1-(M12/L12)</f>
        <v>0.9344381439492575</v>
      </c>
      <c r="H29" s="109">
        <f>1-(O12/N12)</f>
        <v>0.95145056509744597</v>
      </c>
      <c r="I29" s="109">
        <f>1-(Q12/P12)</f>
        <v>0.9248609233583428</v>
      </c>
      <c r="J29" s="110">
        <f>1-(S12/R12)</f>
        <v>0.92334701198467273</v>
      </c>
      <c r="K29" s="110">
        <f>1-(U12/T12)</f>
        <v>0.93451009740753299</v>
      </c>
      <c r="L29" s="110">
        <f>1-(W12/V12)</f>
        <v>0.95574353851916594</v>
      </c>
      <c r="M29" s="110">
        <f>1-(Y12/X12)</f>
        <v>0.92972461550849506</v>
      </c>
      <c r="N29" s="110">
        <f>1-(AA12/Z12)</f>
        <v>0.92430910665884258</v>
      </c>
      <c r="O29" s="111">
        <f>1-(AC12/AB12)</f>
        <v>0.91610527517698104</v>
      </c>
      <c r="P29" s="111">
        <f>1-(AE12/AD12)</f>
        <v>0.94608770925950381</v>
      </c>
      <c r="Q29" s="111">
        <f>1-(AG12/AF12)</f>
        <v>0.92613169613904622</v>
      </c>
      <c r="R29" s="111">
        <f>1-(AI12/AH12)</f>
        <v>0.86695613370260449</v>
      </c>
      <c r="S29" s="111">
        <f>1-(AK12/AJ12)</f>
        <v>0.88091017407224426</v>
      </c>
      <c r="T29" s="112"/>
    </row>
    <row r="30" spans="1:37" x14ac:dyDescent="0.25">
      <c r="C30" s="69"/>
      <c r="D30" s="69"/>
      <c r="E30" s="69"/>
      <c r="F30" s="69"/>
      <c r="G30" s="69"/>
      <c r="H30" s="69"/>
      <c r="I30" s="69"/>
      <c r="J30" s="69"/>
      <c r="K30" s="69"/>
      <c r="L30" s="69"/>
      <c r="M30" s="69"/>
      <c r="N30" s="69"/>
      <c r="O30" s="69"/>
      <c r="P30" s="69"/>
      <c r="Q30" s="69"/>
      <c r="R30" s="69"/>
      <c r="S30" s="69"/>
      <c r="T30" s="67"/>
      <c r="U30" s="67"/>
      <c r="V30" s="67"/>
      <c r="W30" s="67"/>
      <c r="X30" s="67"/>
      <c r="Y30" s="67"/>
      <c r="Z30" s="67"/>
      <c r="AA30" s="67"/>
      <c r="AB30" s="113"/>
    </row>
    <row r="31" spans="1:37" x14ac:dyDescent="0.25">
      <c r="A31" s="151" t="s">
        <v>243</v>
      </c>
      <c r="B31" s="183" t="s">
        <v>364</v>
      </c>
      <c r="C31" s="104">
        <v>2021</v>
      </c>
      <c r="D31" s="104">
        <v>2020</v>
      </c>
      <c r="E31" s="104">
        <v>2019</v>
      </c>
      <c r="F31" s="104">
        <v>2018</v>
      </c>
      <c r="G31" s="104">
        <v>2017</v>
      </c>
      <c r="H31" s="104">
        <v>2016</v>
      </c>
      <c r="I31" s="104">
        <v>2015</v>
      </c>
      <c r="J31" s="104">
        <v>2014</v>
      </c>
      <c r="K31" s="104">
        <v>2013</v>
      </c>
      <c r="L31" s="104">
        <v>2012</v>
      </c>
      <c r="M31" s="104">
        <v>2011</v>
      </c>
      <c r="N31" s="104">
        <v>2010</v>
      </c>
      <c r="O31" s="104">
        <v>2009</v>
      </c>
      <c r="P31" s="104">
        <v>2008</v>
      </c>
      <c r="Q31" s="104">
        <v>2007</v>
      </c>
      <c r="R31" s="104">
        <v>2006</v>
      </c>
      <c r="S31" s="104">
        <v>2005</v>
      </c>
    </row>
    <row r="32" spans="1:37" x14ac:dyDescent="0.25">
      <c r="A32" s="53" t="s">
        <v>44</v>
      </c>
    </row>
    <row r="33" spans="1:19" x14ac:dyDescent="0.25">
      <c r="A33" s="54" t="s">
        <v>45</v>
      </c>
      <c r="B33" s="61">
        <f>B6</f>
        <v>13131.7</v>
      </c>
      <c r="C33" s="61">
        <f>D6</f>
        <v>16881</v>
      </c>
      <c r="D33" s="61">
        <f>F6</f>
        <v>15789.5</v>
      </c>
      <c r="E33" s="61">
        <f>H6</f>
        <v>14904.1</v>
      </c>
      <c r="F33" s="61">
        <f>J6</f>
        <v>13017.2</v>
      </c>
      <c r="G33" s="61">
        <f>L6</f>
        <v>11177.6</v>
      </c>
      <c r="H33" s="61">
        <f>N6</f>
        <v>9791.7000000000007</v>
      </c>
      <c r="I33" s="61">
        <f>P6</f>
        <v>9108.6</v>
      </c>
      <c r="J33" s="61">
        <f>R6</f>
        <v>9087</v>
      </c>
      <c r="K33" s="61">
        <f>T6</f>
        <v>8601.5</v>
      </c>
      <c r="L33" s="61">
        <f>V6</f>
        <v>8103.9</v>
      </c>
      <c r="M33" s="61">
        <f>X6</f>
        <v>7627.4</v>
      </c>
      <c r="N33" s="61">
        <f>Z6</f>
        <v>7419.7</v>
      </c>
      <c r="O33" s="61">
        <f>AB6</f>
        <v>7414.8</v>
      </c>
      <c r="P33" s="61">
        <f>AD6</f>
        <v>7362</v>
      </c>
      <c r="Q33" s="61">
        <f>AF6</f>
        <v>7636.4</v>
      </c>
      <c r="R33" s="61">
        <f>AH6</f>
        <v>7903.6</v>
      </c>
      <c r="S33" s="61">
        <f>AJ6</f>
        <v>7993.1</v>
      </c>
    </row>
    <row r="34" spans="1:19" x14ac:dyDescent="0.25">
      <c r="A34" s="54" t="s">
        <v>46</v>
      </c>
      <c r="B34" s="61">
        <f>B7</f>
        <v>14776.9</v>
      </c>
      <c r="C34" s="61">
        <f>D7</f>
        <v>18492.3</v>
      </c>
      <c r="D34" s="61">
        <f>F7</f>
        <v>16830.599999999999</v>
      </c>
      <c r="E34" s="61">
        <f>H7</f>
        <v>15305.9</v>
      </c>
      <c r="F34" s="61">
        <f>J7</f>
        <v>13017.5</v>
      </c>
      <c r="G34" s="61">
        <f>L7</f>
        <v>10769.6</v>
      </c>
      <c r="H34" s="61">
        <f>N7</f>
        <v>9396.5</v>
      </c>
      <c r="I34" s="61">
        <f>P7</f>
        <v>8185.9</v>
      </c>
      <c r="J34" s="61">
        <f>R7</f>
        <v>7474</v>
      </c>
      <c r="K34" s="61">
        <f>T7</f>
        <v>6740.1</v>
      </c>
      <c r="L34" s="61">
        <f>V7</f>
        <v>6264.2</v>
      </c>
      <c r="M34" s="61">
        <f>X7</f>
        <v>5803.7</v>
      </c>
      <c r="N34" s="61">
        <f>Z7</f>
        <v>5407.2</v>
      </c>
      <c r="O34" s="61">
        <f>AB7</f>
        <v>4951.1000000000004</v>
      </c>
      <c r="P34" s="61">
        <f>AD7</f>
        <v>4485.8</v>
      </c>
      <c r="Q34" s="61">
        <f>AF7</f>
        <v>4372.6000000000004</v>
      </c>
      <c r="R34" s="61">
        <f>AH7</f>
        <v>4337.3999999999996</v>
      </c>
      <c r="S34" s="61">
        <f>AJ7</f>
        <v>4076.2</v>
      </c>
    </row>
    <row r="35" spans="1:19" x14ac:dyDescent="0.25">
      <c r="A35" s="53" t="s">
        <v>47</v>
      </c>
      <c r="B35" s="114">
        <f t="shared" ref="B35" si="28">SUM(B33:B34)</f>
        <v>27908.6</v>
      </c>
      <c r="C35" s="114">
        <f t="shared" ref="C35:H35" si="29">SUM(C33:C34)</f>
        <v>35373.300000000003</v>
      </c>
      <c r="D35" s="114">
        <f t="shared" si="29"/>
        <v>32620.1</v>
      </c>
      <c r="E35" s="114">
        <f t="shared" si="29"/>
        <v>30210</v>
      </c>
      <c r="F35" s="114">
        <f t="shared" si="29"/>
        <v>26034.7</v>
      </c>
      <c r="G35" s="114">
        <f t="shared" si="29"/>
        <v>21947.200000000001</v>
      </c>
      <c r="H35" s="114">
        <f t="shared" si="29"/>
        <v>19188.2</v>
      </c>
      <c r="I35" s="114">
        <f>SUM(I33:I34)</f>
        <v>17294.5</v>
      </c>
      <c r="J35" s="114">
        <f t="shared" ref="J35:S35" si="30">SUM(J33:J34)</f>
        <v>16561</v>
      </c>
      <c r="K35" s="114">
        <f t="shared" si="30"/>
        <v>15341.6</v>
      </c>
      <c r="L35" s="114">
        <f t="shared" si="30"/>
        <v>14368.099999999999</v>
      </c>
      <c r="M35" s="114">
        <f t="shared" si="30"/>
        <v>13431.099999999999</v>
      </c>
      <c r="N35" s="114">
        <f t="shared" si="30"/>
        <v>12826.9</v>
      </c>
      <c r="O35" s="114">
        <f t="shared" si="30"/>
        <v>12365.900000000001</v>
      </c>
      <c r="P35" s="114">
        <f t="shared" si="30"/>
        <v>11847.8</v>
      </c>
      <c r="Q35" s="114">
        <f t="shared" si="30"/>
        <v>12009</v>
      </c>
      <c r="R35" s="114">
        <f t="shared" si="30"/>
        <v>12241</v>
      </c>
      <c r="S35" s="114">
        <f t="shared" si="30"/>
        <v>12069.3</v>
      </c>
    </row>
    <row r="36" spans="1:19" x14ac:dyDescent="0.25">
      <c r="A36" s="54" t="s">
        <v>48</v>
      </c>
      <c r="B36" s="61">
        <f>B9</f>
        <v>6749.5</v>
      </c>
      <c r="C36" s="61">
        <f>D9</f>
        <v>6945.2</v>
      </c>
      <c r="D36" s="61">
        <f>F9</f>
        <v>4875.8</v>
      </c>
      <c r="E36" s="61">
        <f>H9</f>
        <v>4427.6000000000004</v>
      </c>
      <c r="F36" s="61">
        <f>J9</f>
        <v>3610.9</v>
      </c>
      <c r="G36" s="61">
        <f>L9</f>
        <v>2793.9</v>
      </c>
      <c r="H36" s="61">
        <f>N9</f>
        <v>2421.3000000000002</v>
      </c>
      <c r="I36" s="61">
        <f>P9</f>
        <v>1995.9</v>
      </c>
      <c r="J36" s="61">
        <f>R9</f>
        <v>1837.5</v>
      </c>
      <c r="K36" s="61">
        <f>T9</f>
        <v>1761.6</v>
      </c>
      <c r="L36" s="61">
        <f>V9</f>
        <v>1649</v>
      </c>
      <c r="M36" s="61">
        <f>X9</f>
        <v>1467.1</v>
      </c>
      <c r="N36" s="61">
        <f>Z9</f>
        <v>1474.2</v>
      </c>
      <c r="O36" s="61">
        <f>AB9</f>
        <v>1623.3</v>
      </c>
      <c r="P36" s="61">
        <f>AD9</f>
        <v>1762.2</v>
      </c>
      <c r="Q36" s="61">
        <f>AF9</f>
        <v>1846.9</v>
      </c>
      <c r="R36" s="61">
        <f>AH9</f>
        <v>1851.9</v>
      </c>
      <c r="S36" s="61">
        <f>AJ9</f>
        <v>1667.8</v>
      </c>
    </row>
    <row r="37" spans="1:19" x14ac:dyDescent="0.25">
      <c r="A37" s="54" t="s">
        <v>117</v>
      </c>
      <c r="B37" s="61">
        <f>B10</f>
        <v>1689.6</v>
      </c>
      <c r="C37" s="61">
        <f>D10</f>
        <v>2042.5</v>
      </c>
      <c r="D37" s="61">
        <f>F10</f>
        <v>1765.7</v>
      </c>
      <c r="E37" s="61">
        <f>H10</f>
        <v>1554.8</v>
      </c>
      <c r="F37" s="61">
        <f>J10</f>
        <v>1287.7</v>
      </c>
      <c r="G37" s="61">
        <f>L10</f>
        <v>988.8</v>
      </c>
      <c r="H37" s="61">
        <f>N10</f>
        <v>864.5</v>
      </c>
      <c r="I37" s="61">
        <f>P10</f>
        <v>609.1</v>
      </c>
      <c r="J37" s="61">
        <f>R10</f>
        <v>0</v>
      </c>
      <c r="K37" s="61">
        <f>T10</f>
        <v>0</v>
      </c>
      <c r="L37" s="61">
        <f>V10</f>
        <v>0</v>
      </c>
      <c r="M37" s="61">
        <f>X10</f>
        <v>0</v>
      </c>
      <c r="N37" s="61">
        <f>Z10</f>
        <v>0</v>
      </c>
      <c r="O37" s="61">
        <f>AB10</f>
        <v>0</v>
      </c>
      <c r="P37" s="61">
        <f>AD10</f>
        <v>0</v>
      </c>
      <c r="Q37" s="61">
        <f>AF10</f>
        <v>0</v>
      </c>
      <c r="R37" s="61">
        <f>AH10</f>
        <v>0</v>
      </c>
      <c r="S37" s="61">
        <f>AJ10</f>
        <v>0</v>
      </c>
    </row>
    <row r="38" spans="1:19" x14ac:dyDescent="0.25">
      <c r="A38" s="54" t="s">
        <v>49</v>
      </c>
      <c r="B38" s="61">
        <f>B11</f>
        <v>2</v>
      </c>
      <c r="C38" s="61">
        <f>D11</f>
        <v>7.7</v>
      </c>
      <c r="D38" s="61">
        <f>F11</f>
        <v>0</v>
      </c>
      <c r="E38" s="61">
        <f>H11</f>
        <v>0</v>
      </c>
      <c r="F38" s="61">
        <f>J11</f>
        <v>0</v>
      </c>
      <c r="G38" s="61">
        <f>L11</f>
        <v>0</v>
      </c>
      <c r="H38" s="61">
        <f>N11</f>
        <v>0</v>
      </c>
      <c r="I38" s="61">
        <f>P11</f>
        <v>-0.4</v>
      </c>
      <c r="J38" s="61">
        <f>R11</f>
        <v>0</v>
      </c>
      <c r="K38" s="61">
        <f>T11</f>
        <v>0.2</v>
      </c>
      <c r="L38" s="61">
        <f>V11</f>
        <v>0.9</v>
      </c>
      <c r="M38" s="61">
        <f>X11</f>
        <v>4.5999999999999996</v>
      </c>
      <c r="N38" s="61">
        <f>Z11</f>
        <v>13.7</v>
      </c>
      <c r="O38" s="61">
        <f>AB11</f>
        <v>23.6</v>
      </c>
      <c r="P38" s="61">
        <f>AD11</f>
        <v>21.4</v>
      </c>
      <c r="Q38" s="61">
        <f>AF11</f>
        <v>21.5</v>
      </c>
      <c r="R38" s="61">
        <f>AH11</f>
        <v>25</v>
      </c>
      <c r="S38" s="61">
        <f>AJ11</f>
        <v>27.3</v>
      </c>
    </row>
    <row r="39" spans="1:19" x14ac:dyDescent="0.25">
      <c r="A39" s="54" t="s">
        <v>50</v>
      </c>
      <c r="B39" s="114">
        <f t="shared" ref="B39" si="31">SUM(B35:B38)</f>
        <v>36349.699999999997</v>
      </c>
      <c r="C39" s="114">
        <f t="shared" ref="C39:H39" si="32">SUM(C35:C38)</f>
        <v>44368.7</v>
      </c>
      <c r="D39" s="114">
        <f t="shared" si="32"/>
        <v>39261.599999999999</v>
      </c>
      <c r="E39" s="114">
        <f t="shared" si="32"/>
        <v>36192.400000000001</v>
      </c>
      <c r="F39" s="114">
        <f t="shared" si="32"/>
        <v>30933.300000000003</v>
      </c>
      <c r="G39" s="114">
        <f t="shared" si="32"/>
        <v>25729.9</v>
      </c>
      <c r="H39" s="114">
        <f t="shared" si="32"/>
        <v>22474</v>
      </c>
      <c r="I39" s="114">
        <f>SUM(I35:I38)</f>
        <v>19899.099999999999</v>
      </c>
      <c r="J39" s="114">
        <f t="shared" ref="J39:S39" si="33">SUM(J35:J38)</f>
        <v>18398.5</v>
      </c>
      <c r="K39" s="114">
        <f t="shared" si="33"/>
        <v>17103.400000000001</v>
      </c>
      <c r="L39" s="114">
        <f t="shared" si="33"/>
        <v>16017.999999999998</v>
      </c>
      <c r="M39" s="114">
        <f t="shared" si="33"/>
        <v>14902.8</v>
      </c>
      <c r="N39" s="114">
        <f t="shared" si="33"/>
        <v>14314.800000000001</v>
      </c>
      <c r="O39" s="114">
        <f t="shared" si="33"/>
        <v>14012.800000000001</v>
      </c>
      <c r="P39" s="114">
        <f t="shared" si="33"/>
        <v>13631.4</v>
      </c>
      <c r="Q39" s="114">
        <f t="shared" si="33"/>
        <v>13877.4</v>
      </c>
      <c r="R39" s="114">
        <f t="shared" si="33"/>
        <v>14117.9</v>
      </c>
      <c r="S39" s="114">
        <f t="shared" si="33"/>
        <v>13764.399999999998</v>
      </c>
    </row>
    <row r="40" spans="1:19" x14ac:dyDescent="0.25">
      <c r="A40" s="54" t="s">
        <v>114</v>
      </c>
      <c r="B40" s="61">
        <f>B13</f>
        <v>531.9</v>
      </c>
      <c r="C40" s="61">
        <f>D13</f>
        <v>691.8</v>
      </c>
      <c r="D40" s="61">
        <f>F13</f>
        <v>603.5</v>
      </c>
      <c r="E40" s="61">
        <f>H13</f>
        <v>563.70000000000005</v>
      </c>
      <c r="F40" s="61">
        <f>J13</f>
        <v>472.2</v>
      </c>
      <c r="G40" s="61">
        <f>L13</f>
        <v>370.6</v>
      </c>
      <c r="H40" s="61">
        <f>N13</f>
        <v>332.5</v>
      </c>
      <c r="I40" s="61">
        <f>P13</f>
        <v>302</v>
      </c>
      <c r="J40" s="61">
        <f>R13</f>
        <v>309.10000000000002</v>
      </c>
      <c r="K40" s="61">
        <f>T13</f>
        <v>291.8</v>
      </c>
      <c r="L40" s="61">
        <f>V13</f>
        <v>281.8</v>
      </c>
      <c r="M40" s="61">
        <v>0</v>
      </c>
      <c r="N40" s="61">
        <f>Z13</f>
        <v>0</v>
      </c>
      <c r="O40" s="61">
        <f>AB13</f>
        <v>0</v>
      </c>
      <c r="P40" s="61">
        <f>AD13</f>
        <v>0</v>
      </c>
      <c r="Q40" s="61">
        <f>AF13</f>
        <v>0</v>
      </c>
      <c r="R40" s="61">
        <f>AH13</f>
        <v>0</v>
      </c>
      <c r="S40" s="61">
        <f>AJ13</f>
        <v>0</v>
      </c>
    </row>
    <row r="41" spans="1:19" x14ac:dyDescent="0.25">
      <c r="A41" s="54" t="s">
        <v>51</v>
      </c>
      <c r="B41" s="61">
        <f>B14</f>
        <v>230.5</v>
      </c>
      <c r="C41" s="61">
        <f>D14</f>
        <v>271.39999999999998</v>
      </c>
      <c r="D41" s="61">
        <f>F14</f>
        <v>226.4</v>
      </c>
      <c r="E41" s="61">
        <f>H14</f>
        <v>195</v>
      </c>
      <c r="F41" s="61">
        <f>J14</f>
        <v>158.5</v>
      </c>
      <c r="G41" s="61">
        <f>L14</f>
        <v>126.8</v>
      </c>
      <c r="H41" s="61">
        <f>N14</f>
        <v>103.3</v>
      </c>
      <c r="I41" s="61">
        <f>P14</f>
        <v>86.3</v>
      </c>
      <c r="J41" s="61">
        <f>R14</f>
        <v>56</v>
      </c>
      <c r="K41" s="61">
        <f>T14</f>
        <v>39.6</v>
      </c>
      <c r="L41" s="61">
        <f>V14</f>
        <v>36.1</v>
      </c>
      <c r="M41" s="61">
        <f>X14</f>
        <v>22.8</v>
      </c>
      <c r="N41" s="61">
        <f>Z14</f>
        <v>25.9</v>
      </c>
      <c r="O41" s="61">
        <f>AB14</f>
        <v>16.7</v>
      </c>
      <c r="P41" s="61">
        <f>AD14</f>
        <v>16.100000000000001</v>
      </c>
      <c r="Q41" s="61">
        <f>AF14</f>
        <v>22.3</v>
      </c>
      <c r="R41" s="61">
        <f>AH14</f>
        <v>30.4</v>
      </c>
      <c r="S41" s="61">
        <f>AJ14</f>
        <v>40.200000000000003</v>
      </c>
    </row>
    <row r="42" spans="1:19" x14ac:dyDescent="0.25">
      <c r="A42" s="54" t="s">
        <v>55</v>
      </c>
      <c r="B42" s="61">
        <f>B15</f>
        <v>-971.2</v>
      </c>
      <c r="C42" s="61">
        <f>D15</f>
        <v>2370.1</v>
      </c>
      <c r="D42" s="61">
        <f>F15</f>
        <v>2566.6</v>
      </c>
      <c r="E42" s="61">
        <f>H15</f>
        <v>2071.1999999999998</v>
      </c>
      <c r="F42" s="61">
        <f>J15</f>
        <v>415</v>
      </c>
      <c r="G42" s="61">
        <f>L15</f>
        <v>612.70000000000005</v>
      </c>
      <c r="H42" s="61">
        <f>N15</f>
        <v>530</v>
      </c>
      <c r="I42" s="61">
        <f>P15</f>
        <v>567.29999999999995</v>
      </c>
      <c r="J42" s="61">
        <f>R15</f>
        <v>632.6</v>
      </c>
      <c r="K42" s="61">
        <f>T15</f>
        <v>740.4</v>
      </c>
      <c r="L42" s="61">
        <f>V15</f>
        <v>749.8</v>
      </c>
      <c r="M42" s="61">
        <f>X15</f>
        <v>582.6</v>
      </c>
      <c r="N42" s="61">
        <f>Z15</f>
        <v>616.20000000000005</v>
      </c>
      <c r="O42" s="61">
        <f>AB15</f>
        <v>534.1</v>
      </c>
      <c r="P42" s="61">
        <f>AD15</f>
        <v>-807.4</v>
      </c>
      <c r="Q42" s="61">
        <f>AF15</f>
        <v>787.1</v>
      </c>
      <c r="R42" s="61">
        <f>AH15</f>
        <v>638.1</v>
      </c>
      <c r="S42" s="61">
        <f>AJ15</f>
        <v>498.8</v>
      </c>
    </row>
    <row r="43" spans="1:19" x14ac:dyDescent="0.25">
      <c r="A43" s="54" t="s">
        <v>57</v>
      </c>
      <c r="B43" s="61">
        <f>B16</f>
        <v>0</v>
      </c>
      <c r="C43" s="61">
        <f>D16</f>
        <v>0</v>
      </c>
      <c r="D43" s="61">
        <f>F16</f>
        <v>0</v>
      </c>
      <c r="E43" s="61">
        <f>H16</f>
        <v>0</v>
      </c>
      <c r="F43" s="61">
        <f>J16</f>
        <v>0</v>
      </c>
      <c r="G43" s="61">
        <f>L16</f>
        <v>-1</v>
      </c>
      <c r="H43" s="61">
        <f>N16</f>
        <v>1.6</v>
      </c>
      <c r="I43" s="61">
        <f>P16</f>
        <v>-0.9</v>
      </c>
      <c r="J43" s="61">
        <f>R16</f>
        <v>-4.8</v>
      </c>
      <c r="K43" s="61">
        <f>T16</f>
        <v>-4.3</v>
      </c>
      <c r="L43" s="61">
        <f>V16</f>
        <v>-1.8</v>
      </c>
      <c r="M43" s="61">
        <f>X16</f>
        <v>-0.1</v>
      </c>
      <c r="N43" s="61">
        <f>Z16</f>
        <v>6.4</v>
      </c>
      <c r="O43" s="61">
        <f>AB16</f>
        <v>0</v>
      </c>
      <c r="P43" s="61">
        <f>AD16</f>
        <v>0</v>
      </c>
      <c r="Q43" s="61">
        <f>AF16</f>
        <v>0</v>
      </c>
      <c r="R43" s="61">
        <f>AH16</f>
        <v>0</v>
      </c>
      <c r="S43" s="61">
        <f>AJ16</f>
        <v>0</v>
      </c>
    </row>
    <row r="44" spans="1:19" x14ac:dyDescent="0.25">
      <c r="A44" s="54" t="s">
        <v>363</v>
      </c>
      <c r="B44" s="61">
        <v>0</v>
      </c>
      <c r="C44" s="61">
        <v>0</v>
      </c>
      <c r="D44" s="61">
        <v>0</v>
      </c>
      <c r="E44" s="61">
        <v>0</v>
      </c>
      <c r="F44" s="61">
        <v>0</v>
      </c>
      <c r="G44" s="61">
        <v>0</v>
      </c>
      <c r="H44" s="61">
        <v>0</v>
      </c>
      <c r="I44" s="61">
        <v>0</v>
      </c>
      <c r="J44" s="61">
        <v>0</v>
      </c>
      <c r="K44" s="61">
        <v>0</v>
      </c>
      <c r="L44" s="61">
        <v>0</v>
      </c>
      <c r="M44" s="61">
        <v>0</v>
      </c>
      <c r="N44" s="61">
        <v>0</v>
      </c>
      <c r="O44" s="61">
        <v>0</v>
      </c>
      <c r="P44" s="61">
        <v>0</v>
      </c>
      <c r="Q44" s="61">
        <v>0</v>
      </c>
      <c r="R44" s="61">
        <v>0</v>
      </c>
      <c r="S44" s="61">
        <v>0</v>
      </c>
    </row>
    <row r="45" spans="1:19" x14ac:dyDescent="0.25">
      <c r="A45" s="54" t="s">
        <v>56</v>
      </c>
      <c r="B45" s="61">
        <f>B18</f>
        <v>0</v>
      </c>
      <c r="C45" s="61">
        <f>D18</f>
        <v>0</v>
      </c>
      <c r="D45" s="61">
        <f>F18</f>
        <v>0</v>
      </c>
      <c r="E45" s="61">
        <f>H18</f>
        <v>0</v>
      </c>
      <c r="F45" s="61">
        <f>J18</f>
        <v>0</v>
      </c>
      <c r="G45" s="61">
        <f>L18</f>
        <v>0</v>
      </c>
      <c r="H45" s="61">
        <f>N18</f>
        <v>0</v>
      </c>
      <c r="I45" s="61">
        <f>P18</f>
        <v>0</v>
      </c>
      <c r="J45" s="61">
        <f>R18</f>
        <v>0</v>
      </c>
      <c r="K45" s="61">
        <f>T18</f>
        <v>0</v>
      </c>
      <c r="L45" s="61">
        <f>V18</f>
        <v>0</v>
      </c>
      <c r="M45" s="61">
        <v>0</v>
      </c>
      <c r="N45" s="61">
        <f>Z18</f>
        <v>0</v>
      </c>
      <c r="O45" s="61">
        <f>AB18</f>
        <v>0</v>
      </c>
      <c r="P45" s="61">
        <f>AD18</f>
        <v>0</v>
      </c>
      <c r="Q45" s="61">
        <f>AF18</f>
        <v>0</v>
      </c>
      <c r="R45" s="61">
        <f>AH18</f>
        <v>0</v>
      </c>
      <c r="S45" s="61">
        <f>AJ18</f>
        <v>0</v>
      </c>
    </row>
    <row r="46" spans="1:19" ht="20" thickBot="1" x14ac:dyDescent="0.3">
      <c r="A46" s="103" t="s">
        <v>52</v>
      </c>
      <c r="B46" s="119">
        <f t="shared" ref="B46" si="34">SUM(B39:B45)</f>
        <v>36140.9</v>
      </c>
      <c r="C46" s="119">
        <f t="shared" ref="C46:H46" si="35">SUM(C39:C45)</f>
        <v>47702</v>
      </c>
      <c r="D46" s="119">
        <f t="shared" si="35"/>
        <v>42658.1</v>
      </c>
      <c r="E46" s="119">
        <f t="shared" si="35"/>
        <v>39022.299999999996</v>
      </c>
      <c r="F46" s="119">
        <f t="shared" si="35"/>
        <v>31979.000000000004</v>
      </c>
      <c r="G46" s="119">
        <f t="shared" si="35"/>
        <v>26839</v>
      </c>
      <c r="H46" s="119">
        <f t="shared" si="35"/>
        <v>23441.399999999998</v>
      </c>
      <c r="I46" s="119">
        <f>SUM(I39:I45)</f>
        <v>20853.799999999996</v>
      </c>
      <c r="J46" s="119">
        <f>R19</f>
        <v>19391.399999999998</v>
      </c>
      <c r="K46" s="119">
        <f>T19</f>
        <v>18170.900000000001</v>
      </c>
      <c r="L46" s="119">
        <f>V19</f>
        <v>17083.899999999998</v>
      </c>
      <c r="M46" s="119">
        <f>X19</f>
        <v>15508.099999999999</v>
      </c>
      <c r="N46" s="119">
        <f>Z19</f>
        <v>14963.300000000001</v>
      </c>
      <c r="O46" s="119">
        <f>AB19</f>
        <v>14563.600000000002</v>
      </c>
      <c r="P46" s="119">
        <f>AD19</f>
        <v>12840.1</v>
      </c>
      <c r="Q46" s="119">
        <f>AF19</f>
        <v>14686.8</v>
      </c>
      <c r="R46" s="119">
        <f>AH19</f>
        <v>14786.4</v>
      </c>
      <c r="S46" s="119">
        <f>AJ19</f>
        <v>14303.399999999998</v>
      </c>
    </row>
    <row r="47" spans="1:19" ht="20" thickTop="1" x14ac:dyDescent="0.25">
      <c r="C47" s="115"/>
      <c r="D47" s="115"/>
      <c r="E47" s="115"/>
      <c r="F47" s="115"/>
      <c r="G47" s="115"/>
      <c r="H47" s="115"/>
      <c r="I47" s="115"/>
      <c r="J47" s="115"/>
      <c r="K47" s="115"/>
      <c r="L47" s="115"/>
      <c r="M47" s="115"/>
      <c r="N47" s="115"/>
      <c r="O47" s="115"/>
      <c r="P47" s="115"/>
      <c r="Q47" s="115"/>
      <c r="R47" s="115"/>
      <c r="S47" s="115"/>
    </row>
    <row r="48" spans="1:19" x14ac:dyDescent="0.25">
      <c r="A48" s="151" t="s">
        <v>244</v>
      </c>
      <c r="B48" s="183" t="s">
        <v>364</v>
      </c>
      <c r="C48" s="104">
        <v>2021</v>
      </c>
      <c r="D48" s="104">
        <v>2020</v>
      </c>
      <c r="E48" s="104">
        <v>2019</v>
      </c>
      <c r="F48" s="104">
        <v>2018</v>
      </c>
      <c r="G48" s="104">
        <v>2017</v>
      </c>
      <c r="H48" s="104">
        <v>2016</v>
      </c>
      <c r="I48" s="104">
        <v>2015</v>
      </c>
      <c r="J48" s="104">
        <v>2014</v>
      </c>
      <c r="K48" s="104">
        <v>2013</v>
      </c>
      <c r="L48" s="104">
        <v>2012</v>
      </c>
      <c r="M48" s="104">
        <v>2011</v>
      </c>
      <c r="N48" s="104">
        <v>2010</v>
      </c>
      <c r="O48" s="104">
        <v>2009</v>
      </c>
      <c r="P48" s="104">
        <v>2008</v>
      </c>
      <c r="Q48" s="104">
        <v>2007</v>
      </c>
      <c r="R48" s="104">
        <v>2006</v>
      </c>
      <c r="S48" s="104">
        <v>2005</v>
      </c>
    </row>
    <row r="49" spans="1:25" x14ac:dyDescent="0.25">
      <c r="A49" s="53" t="s">
        <v>44</v>
      </c>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row>
    <row r="50" spans="1:25" x14ac:dyDescent="0.25">
      <c r="A50" s="54" t="s">
        <v>45</v>
      </c>
      <c r="B50" s="61">
        <f>C6</f>
        <v>507.6</v>
      </c>
      <c r="C50" s="61">
        <f>E6</f>
        <v>992.1</v>
      </c>
      <c r="D50" s="61">
        <f>G6</f>
        <v>2236.5</v>
      </c>
      <c r="E50" s="61">
        <f>I6</f>
        <v>1673.2</v>
      </c>
      <c r="F50" s="61">
        <f>K6</f>
        <v>1435.7</v>
      </c>
      <c r="G50" s="61">
        <f>M6</f>
        <v>839.6</v>
      </c>
      <c r="H50" s="61">
        <f>O6</f>
        <v>492.8</v>
      </c>
      <c r="I50" s="61">
        <f>Q6</f>
        <v>713.2</v>
      </c>
      <c r="J50" s="61">
        <f>S6</f>
        <v>683</v>
      </c>
      <c r="K50" s="61">
        <f>U6</f>
        <v>542.9</v>
      </c>
      <c r="L50" s="61">
        <f>W6</f>
        <v>338.9</v>
      </c>
      <c r="M50" s="61">
        <f>Y6</f>
        <v>564.9</v>
      </c>
      <c r="N50" s="61">
        <f>AA6</f>
        <v>601</v>
      </c>
      <c r="O50" s="61">
        <f>AC6</f>
        <v>579.20000000000005</v>
      </c>
      <c r="P50" s="61">
        <f>AE6</f>
        <v>360.7</v>
      </c>
      <c r="Q50" s="61">
        <f>AG6</f>
        <v>500.2</v>
      </c>
      <c r="R50" s="61">
        <f>AI6</f>
        <v>936.7</v>
      </c>
      <c r="S50" s="61">
        <f>AK6</f>
        <v>857.6</v>
      </c>
    </row>
    <row r="51" spans="1:25" x14ac:dyDescent="0.25">
      <c r="A51" s="54" t="s">
        <v>46</v>
      </c>
      <c r="B51" s="61">
        <f>C7</f>
        <v>389.4</v>
      </c>
      <c r="C51" s="61">
        <f>E7</f>
        <v>619.20000000000005</v>
      </c>
      <c r="D51" s="61">
        <f>G7</f>
        <v>2076.5</v>
      </c>
      <c r="E51" s="61">
        <f>I7</f>
        <v>1181.4000000000001</v>
      </c>
      <c r="F51" s="61">
        <f>K7</f>
        <v>1088.5</v>
      </c>
      <c r="G51" s="61">
        <f>M7</f>
        <v>683.7</v>
      </c>
      <c r="H51" s="61">
        <f>O7</f>
        <v>412.2</v>
      </c>
      <c r="I51" s="61">
        <f>Q7</f>
        <v>403.4</v>
      </c>
      <c r="J51" s="61">
        <f>S7</f>
        <v>423.4</v>
      </c>
      <c r="K51" s="61">
        <f>U7</f>
        <v>473.9</v>
      </c>
      <c r="L51" s="61">
        <f>W7</f>
        <v>289.5</v>
      </c>
      <c r="M51" s="61">
        <f>Y7</f>
        <v>354.4</v>
      </c>
      <c r="N51" s="61">
        <f>AA7</f>
        <v>291.10000000000002</v>
      </c>
      <c r="O51" s="61">
        <f>AC7</f>
        <v>357.9</v>
      </c>
      <c r="P51" s="61">
        <f>AE7</f>
        <v>274.8</v>
      </c>
      <c r="Q51" s="61">
        <f>AG7</f>
        <v>339.9</v>
      </c>
      <c r="R51" s="61">
        <f>AI7</f>
        <v>568.6</v>
      </c>
      <c r="S51" s="61">
        <f>AK7</f>
        <v>475.7</v>
      </c>
    </row>
    <row r="52" spans="1:25" x14ac:dyDescent="0.25">
      <c r="A52" s="53" t="s">
        <v>47</v>
      </c>
      <c r="B52" s="114">
        <f t="shared" ref="B52" si="36">SUM(B50:B51)</f>
        <v>897</v>
      </c>
      <c r="C52" s="114">
        <f t="shared" ref="C52:S52" si="37">SUM(C50:C51)</f>
        <v>1611.3000000000002</v>
      </c>
      <c r="D52" s="114">
        <f t="shared" si="37"/>
        <v>4313</v>
      </c>
      <c r="E52" s="114">
        <f t="shared" si="37"/>
        <v>2854.6000000000004</v>
      </c>
      <c r="F52" s="114">
        <f t="shared" si="37"/>
        <v>2524.1999999999998</v>
      </c>
      <c r="G52" s="114">
        <f t="shared" si="37"/>
        <v>1523.3000000000002</v>
      </c>
      <c r="H52" s="114">
        <f t="shared" si="37"/>
        <v>905</v>
      </c>
      <c r="I52" s="114">
        <f t="shared" si="37"/>
        <v>1116.5999999999999</v>
      </c>
      <c r="J52" s="114">
        <f t="shared" si="37"/>
        <v>1106.4000000000001</v>
      </c>
      <c r="K52" s="114">
        <f t="shared" si="37"/>
        <v>1016.8</v>
      </c>
      <c r="L52" s="114">
        <f t="shared" si="37"/>
        <v>628.4</v>
      </c>
      <c r="M52" s="114">
        <f t="shared" si="37"/>
        <v>919.3</v>
      </c>
      <c r="N52" s="114">
        <f t="shared" si="37"/>
        <v>892.1</v>
      </c>
      <c r="O52" s="114">
        <f>SUM(O50:O51)</f>
        <v>937.1</v>
      </c>
      <c r="P52" s="114">
        <f t="shared" si="37"/>
        <v>635.5</v>
      </c>
      <c r="Q52" s="114">
        <f t="shared" si="37"/>
        <v>840.09999999999991</v>
      </c>
      <c r="R52" s="114">
        <f>SUM(R50:R51)</f>
        <v>1505.3000000000002</v>
      </c>
      <c r="S52" s="114">
        <f t="shared" si="37"/>
        <v>1333.3</v>
      </c>
    </row>
    <row r="53" spans="1:25" x14ac:dyDescent="0.25">
      <c r="A53" s="54" t="s">
        <v>48</v>
      </c>
      <c r="B53" s="61">
        <f>C9</f>
        <v>683.5</v>
      </c>
      <c r="C53" s="61">
        <f>E9</f>
        <v>767.8</v>
      </c>
      <c r="D53" s="61">
        <f>G9</f>
        <v>634.79999999999995</v>
      </c>
      <c r="E53" s="61">
        <f>I9</f>
        <v>458.8</v>
      </c>
      <c r="F53" s="61">
        <f>K9</f>
        <v>478.6</v>
      </c>
      <c r="G53" s="61">
        <f>M9</f>
        <v>214.1</v>
      </c>
      <c r="H53" s="61">
        <f>O9</f>
        <v>155.19999999999999</v>
      </c>
      <c r="I53" s="61">
        <f>Q9</f>
        <v>318.3</v>
      </c>
      <c r="J53" s="61">
        <f>S9</f>
        <v>315.8</v>
      </c>
      <c r="K53" s="61">
        <f>U9</f>
        <v>114.1</v>
      </c>
      <c r="L53" s="61">
        <f>W9</f>
        <v>86.3</v>
      </c>
      <c r="M53" s="61">
        <f>Y9</f>
        <v>133.5</v>
      </c>
      <c r="N53" s="61">
        <f>AA9</f>
        <v>185</v>
      </c>
      <c r="O53" s="61">
        <f>AC9</f>
        <v>229.8</v>
      </c>
      <c r="P53" s="61">
        <f>AE9</f>
        <v>94.1</v>
      </c>
      <c r="Q53" s="61">
        <f>AG9</f>
        <v>185.7</v>
      </c>
      <c r="R53" s="61">
        <f>AI9</f>
        <v>366.5</v>
      </c>
      <c r="S53" s="61">
        <f>AK9</f>
        <v>298</v>
      </c>
    </row>
    <row r="54" spans="1:25" x14ac:dyDescent="0.25">
      <c r="A54" s="54" t="s">
        <v>117</v>
      </c>
      <c r="B54" s="61">
        <f>C10</f>
        <v>-289.60000000000002</v>
      </c>
      <c r="C54" s="61">
        <f>E10</f>
        <v>-312.3</v>
      </c>
      <c r="D54" s="61">
        <f>G10</f>
        <v>-125.1</v>
      </c>
      <c r="E54" s="61">
        <f>I10</f>
        <v>-26.1</v>
      </c>
      <c r="F54" s="61">
        <f>K10</f>
        <v>-88.7</v>
      </c>
      <c r="G54" s="61">
        <f>M10</f>
        <v>-50.3</v>
      </c>
      <c r="H54" s="61">
        <f>O10</f>
        <v>32.5</v>
      </c>
      <c r="I54" s="61">
        <f>Q10</f>
        <v>61.3</v>
      </c>
      <c r="J54" s="61">
        <f>S10</f>
        <v>0</v>
      </c>
      <c r="K54" s="61">
        <f>U10</f>
        <v>0</v>
      </c>
      <c r="L54" s="61">
        <f>W10</f>
        <v>0</v>
      </c>
      <c r="M54" s="61">
        <f>Y10</f>
        <v>0</v>
      </c>
      <c r="N54" s="61">
        <f>AA10</f>
        <v>0</v>
      </c>
      <c r="O54" s="61">
        <f>AC10</f>
        <v>0</v>
      </c>
      <c r="P54" s="61">
        <f>AE10</f>
        <v>0</v>
      </c>
      <c r="Q54" s="61">
        <f>AG10</f>
        <v>0</v>
      </c>
      <c r="R54" s="61">
        <f>AI10</f>
        <v>0</v>
      </c>
      <c r="S54" s="61">
        <f>AK10</f>
        <v>0</v>
      </c>
    </row>
    <row r="55" spans="1:25" x14ac:dyDescent="0.25">
      <c r="A55" s="54" t="s">
        <v>49</v>
      </c>
      <c r="B55" s="61">
        <f>C11</f>
        <v>-9.3000000000000007</v>
      </c>
      <c r="C55" s="61">
        <f>E11</f>
        <v>-1.4</v>
      </c>
      <c r="D55" s="61">
        <f>G11</f>
        <v>0</v>
      </c>
      <c r="E55" s="61">
        <f>I11</f>
        <v>0</v>
      </c>
      <c r="F55" s="61">
        <f>K11</f>
        <v>0.9</v>
      </c>
      <c r="G55" s="61">
        <f>M11</f>
        <v>-0.2</v>
      </c>
      <c r="H55" s="61">
        <f>O11</f>
        <v>-1.6</v>
      </c>
      <c r="I55" s="61">
        <f>Q11</f>
        <v>-1</v>
      </c>
      <c r="J55" s="61">
        <f>S11</f>
        <v>-11.9</v>
      </c>
      <c r="K55" s="61">
        <f>U11</f>
        <v>-10.8</v>
      </c>
      <c r="L55" s="61">
        <f>W11</f>
        <v>-5.8</v>
      </c>
      <c r="M55" s="61">
        <f>Y11</f>
        <v>-5.5</v>
      </c>
      <c r="N55" s="61">
        <f>AA11</f>
        <v>6.4</v>
      </c>
      <c r="O55" s="61">
        <f>AC11</f>
        <v>8.6999999999999993</v>
      </c>
      <c r="P55" s="61">
        <f>AE11</f>
        <v>5.3</v>
      </c>
      <c r="Q55" s="61">
        <f>AG11</f>
        <v>-0.7</v>
      </c>
      <c r="R55" s="61">
        <f>AI11</f>
        <v>6.5</v>
      </c>
      <c r="S55" s="61">
        <f>AK11</f>
        <v>7.9</v>
      </c>
    </row>
    <row r="56" spans="1:25" x14ac:dyDescent="0.25">
      <c r="A56" s="54" t="s">
        <v>50</v>
      </c>
      <c r="B56" s="114">
        <f t="shared" ref="B56" si="38">SUM(B52:B55)</f>
        <v>1281.6000000000001</v>
      </c>
      <c r="C56" s="114">
        <f>SUM(C52:C55)</f>
        <v>2065.4</v>
      </c>
      <c r="D56" s="114">
        <f t="shared" ref="D56:S56" si="39">SUM(D52:D55)</f>
        <v>4822.7</v>
      </c>
      <c r="E56" s="114">
        <f t="shared" si="39"/>
        <v>3287.3000000000006</v>
      </c>
      <c r="F56" s="114">
        <f t="shared" si="39"/>
        <v>2915</v>
      </c>
      <c r="G56" s="114">
        <f t="shared" si="39"/>
        <v>1686.9</v>
      </c>
      <c r="H56" s="114">
        <f t="shared" si="39"/>
        <v>1091.1000000000001</v>
      </c>
      <c r="I56" s="114">
        <f t="shared" si="39"/>
        <v>1495.1999999999998</v>
      </c>
      <c r="J56" s="114">
        <f t="shared" si="39"/>
        <v>1410.3</v>
      </c>
      <c r="K56" s="114">
        <f t="shared" si="39"/>
        <v>1120.0999999999999</v>
      </c>
      <c r="L56" s="114">
        <f t="shared" si="39"/>
        <v>708.9</v>
      </c>
      <c r="M56" s="114">
        <f t="shared" si="39"/>
        <v>1047.3</v>
      </c>
      <c r="N56" s="114">
        <f t="shared" si="39"/>
        <v>1083.5</v>
      </c>
      <c r="O56" s="114">
        <f t="shared" si="39"/>
        <v>1175.6000000000001</v>
      </c>
      <c r="P56" s="114">
        <f t="shared" si="39"/>
        <v>734.9</v>
      </c>
      <c r="Q56" s="114">
        <f t="shared" si="39"/>
        <v>1025.0999999999999</v>
      </c>
      <c r="R56" s="114">
        <f t="shared" si="39"/>
        <v>1878.3000000000002</v>
      </c>
      <c r="S56" s="114">
        <f t="shared" si="39"/>
        <v>1639.2</v>
      </c>
    </row>
    <row r="57" spans="1:25" x14ac:dyDescent="0.25">
      <c r="A57" s="54" t="s">
        <v>114</v>
      </c>
      <c r="B57" s="61">
        <f t="shared" ref="B57:B62" si="40">C13</f>
        <v>0</v>
      </c>
      <c r="C57" s="61">
        <f>E13</f>
        <v>0</v>
      </c>
      <c r="D57" s="61">
        <f>G13</f>
        <v>0</v>
      </c>
      <c r="E57" s="61">
        <f>I13</f>
        <v>0</v>
      </c>
      <c r="F57" s="61">
        <f>K13</f>
        <v>0</v>
      </c>
      <c r="G57" s="61">
        <f>M13</f>
        <v>0</v>
      </c>
      <c r="H57" s="61">
        <f>O13</f>
        <v>0</v>
      </c>
      <c r="I57" s="61">
        <f>Q13</f>
        <v>0</v>
      </c>
      <c r="J57" s="61">
        <f>S13</f>
        <v>0</v>
      </c>
      <c r="K57" s="61">
        <f>U13</f>
        <v>0</v>
      </c>
      <c r="L57" s="61">
        <f>W13</f>
        <v>0</v>
      </c>
      <c r="M57" s="61">
        <f>Y13</f>
        <v>0</v>
      </c>
      <c r="N57" s="61">
        <f>AA13</f>
        <v>0</v>
      </c>
      <c r="O57" s="61">
        <f>AC13</f>
        <v>0</v>
      </c>
      <c r="P57" s="61">
        <f>AE13</f>
        <v>0</v>
      </c>
      <c r="Q57" s="61">
        <f>AG13</f>
        <v>0</v>
      </c>
      <c r="R57" s="61">
        <f>AI13</f>
        <v>0</v>
      </c>
      <c r="S57" s="61">
        <f>AK13</f>
        <v>0</v>
      </c>
    </row>
    <row r="58" spans="1:25" x14ac:dyDescent="0.25">
      <c r="A58" s="54" t="s">
        <v>51</v>
      </c>
      <c r="B58" s="61">
        <f t="shared" si="40"/>
        <v>9</v>
      </c>
      <c r="C58" s="61">
        <f>E14</f>
        <v>18.600000000000001</v>
      </c>
      <c r="D58" s="61">
        <f>G14</f>
        <v>20.9</v>
      </c>
      <c r="E58" s="61">
        <f>I14</f>
        <v>16.100000000000001</v>
      </c>
      <c r="F58" s="61">
        <f>K14</f>
        <v>24.4</v>
      </c>
      <c r="G58" s="61">
        <f>M14</f>
        <v>17.3</v>
      </c>
      <c r="H58" s="61">
        <f>O14</f>
        <v>11.3</v>
      </c>
      <c r="I58" s="61">
        <f>Q14</f>
        <v>8.8000000000000007</v>
      </c>
      <c r="J58" s="61">
        <f>S14</f>
        <v>5.0999999999999996</v>
      </c>
      <c r="K58" s="61">
        <f>U14</f>
        <v>0.8</v>
      </c>
      <c r="L58" s="61">
        <f>W14</f>
        <v>0</v>
      </c>
      <c r="M58" s="61">
        <f>Y14</f>
        <v>3.4</v>
      </c>
      <c r="N58" s="61">
        <f>AA14</f>
        <v>4.5</v>
      </c>
      <c r="O58" s="61">
        <f>AC14</f>
        <v>-2.7</v>
      </c>
      <c r="P58" s="61">
        <f>AE14</f>
        <v>-4.3</v>
      </c>
      <c r="Q58" s="61">
        <f>AG14</f>
        <v>1.8</v>
      </c>
      <c r="R58" s="61">
        <f>AI14</f>
        <v>6</v>
      </c>
      <c r="S58" s="61">
        <f>AK14</f>
        <v>15.6</v>
      </c>
    </row>
    <row r="59" spans="1:25" x14ac:dyDescent="0.25">
      <c r="A59" s="54" t="s">
        <v>55</v>
      </c>
      <c r="B59" s="61">
        <f t="shared" si="40"/>
        <v>-988.6</v>
      </c>
      <c r="C59" s="61">
        <f>E15</f>
        <v>2344.6</v>
      </c>
      <c r="D59" s="61">
        <f>G15</f>
        <v>2546.6</v>
      </c>
      <c r="E59" s="61">
        <f>I15</f>
        <v>2046.6</v>
      </c>
      <c r="F59" s="61">
        <f>K15</f>
        <v>390.7</v>
      </c>
      <c r="G59" s="61">
        <f>M15</f>
        <v>588.79999999999995</v>
      </c>
      <c r="H59" s="61">
        <f>O15</f>
        <v>507.6</v>
      </c>
      <c r="I59" s="61">
        <f>Q15</f>
        <v>544.5</v>
      </c>
      <c r="J59" s="61">
        <f>S15</f>
        <v>613.70000000000005</v>
      </c>
      <c r="K59" s="61">
        <f>U15</f>
        <v>721.6</v>
      </c>
      <c r="L59" s="61">
        <f>W15</f>
        <v>734.4</v>
      </c>
      <c r="M59" s="61">
        <f>Y15</f>
        <v>569.1</v>
      </c>
      <c r="N59" s="61">
        <f>AA15</f>
        <v>604.29999999999995</v>
      </c>
      <c r="O59" s="61">
        <f>AC15</f>
        <v>523</v>
      </c>
      <c r="P59" s="61">
        <f>AE15</f>
        <v>-816.2</v>
      </c>
      <c r="Q59" s="61">
        <f>AG15</f>
        <v>774.7</v>
      </c>
      <c r="R59" s="61">
        <f>AI15</f>
        <v>626.20000000000005</v>
      </c>
      <c r="S59" s="61">
        <f>AK15</f>
        <v>486.7</v>
      </c>
    </row>
    <row r="60" spans="1:25" x14ac:dyDescent="0.25">
      <c r="A60" s="54" t="s">
        <v>57</v>
      </c>
      <c r="B60" s="61">
        <f t="shared" si="40"/>
        <v>0</v>
      </c>
      <c r="C60" s="61">
        <f>E16</f>
        <v>0</v>
      </c>
      <c r="D60" s="61">
        <f>G16</f>
        <v>0</v>
      </c>
      <c r="E60" s="61">
        <f>I16</f>
        <v>0</v>
      </c>
      <c r="F60" s="61">
        <f>K16</f>
        <v>0</v>
      </c>
      <c r="G60" s="61">
        <f>M16</f>
        <v>-1</v>
      </c>
      <c r="H60" s="61">
        <f>O16</f>
        <v>1.6</v>
      </c>
      <c r="I60" s="61">
        <f>Q16</f>
        <v>-0.9</v>
      </c>
      <c r="J60" s="61">
        <f>S16</f>
        <v>-4.8</v>
      </c>
      <c r="K60" s="61">
        <f>U16</f>
        <v>-4.3</v>
      </c>
      <c r="L60" s="61">
        <f>W16</f>
        <v>-1.8</v>
      </c>
      <c r="M60" s="61">
        <f>Y16</f>
        <v>-0.1</v>
      </c>
      <c r="N60" s="61">
        <f>AA16</f>
        <v>6.4</v>
      </c>
      <c r="O60" s="61">
        <f>AC16</f>
        <v>0</v>
      </c>
      <c r="P60" s="61">
        <f>AE16</f>
        <v>0</v>
      </c>
      <c r="Q60" s="61">
        <f>AG16</f>
        <v>0</v>
      </c>
      <c r="R60" s="61">
        <f>AI16</f>
        <v>0</v>
      </c>
      <c r="S60" s="61">
        <f>AK16</f>
        <v>0</v>
      </c>
    </row>
    <row r="61" spans="1:25" x14ac:dyDescent="0.25">
      <c r="A61" s="54" t="s">
        <v>363</v>
      </c>
      <c r="B61" s="61">
        <f t="shared" si="40"/>
        <v>-224.8</v>
      </c>
      <c r="C61" s="61"/>
      <c r="D61" s="61"/>
      <c r="E61" s="61"/>
      <c r="F61" s="61"/>
      <c r="G61" s="61"/>
      <c r="H61" s="61"/>
      <c r="I61" s="61"/>
      <c r="J61" s="61"/>
      <c r="K61" s="61"/>
      <c r="L61" s="61"/>
      <c r="M61" s="61"/>
      <c r="N61" s="61"/>
      <c r="O61" s="61"/>
      <c r="P61" s="61"/>
      <c r="Q61" s="61"/>
      <c r="R61" s="61"/>
      <c r="S61" s="61"/>
    </row>
    <row r="62" spans="1:25" x14ac:dyDescent="0.25">
      <c r="A62" s="54" t="s">
        <v>56</v>
      </c>
      <c r="B62" s="61">
        <f t="shared" si="40"/>
        <v>-180.4</v>
      </c>
      <c r="C62" s="61">
        <f>E18</f>
        <v>-218.6</v>
      </c>
      <c r="D62" s="61">
        <f>G18</f>
        <v>-217</v>
      </c>
      <c r="E62" s="61">
        <f>I18</f>
        <v>-189.7</v>
      </c>
      <c r="F62" s="61">
        <f>K18</f>
        <v>-166.5</v>
      </c>
      <c r="G62" s="61">
        <f>M18</f>
        <v>-153.1</v>
      </c>
      <c r="H62" s="61">
        <f>O18</f>
        <v>-140.9</v>
      </c>
      <c r="I62" s="61">
        <f>Q18</f>
        <v>-136</v>
      </c>
      <c r="J62" s="61">
        <f>S18</f>
        <v>-116.9</v>
      </c>
      <c r="K62" s="61">
        <f>U18</f>
        <v>-118.2</v>
      </c>
      <c r="L62" s="61">
        <f>W18</f>
        <v>-123.8</v>
      </c>
      <c r="M62" s="61">
        <f>Y18</f>
        <v>-132.69999999999999</v>
      </c>
      <c r="N62" s="61">
        <f>AA18</f>
        <v>-133.5</v>
      </c>
      <c r="O62" s="61">
        <f>AC18</f>
        <v>-139</v>
      </c>
      <c r="P62" s="61">
        <f>AE18</f>
        <v>-136.69999999999999</v>
      </c>
      <c r="Q62" s="61">
        <f>AG18</f>
        <v>-108.6</v>
      </c>
      <c r="R62" s="61">
        <f>AI18</f>
        <v>-77.3</v>
      </c>
      <c r="S62" s="61">
        <f>AK18</f>
        <v>-82.6</v>
      </c>
    </row>
    <row r="63" spans="1:25" ht="20" thickBot="1" x14ac:dyDescent="0.3">
      <c r="A63" s="103" t="s">
        <v>52</v>
      </c>
      <c r="B63" s="119">
        <f t="shared" ref="B63" si="41">SUM(B56:B62)</f>
        <v>-103.1999999999999</v>
      </c>
      <c r="C63" s="119">
        <f t="shared" ref="C63:S63" si="42">SUM(C56:C62)</f>
        <v>4210</v>
      </c>
      <c r="D63" s="119">
        <f t="shared" si="42"/>
        <v>7173.1999999999989</v>
      </c>
      <c r="E63" s="119">
        <f t="shared" si="42"/>
        <v>5160.3</v>
      </c>
      <c r="F63" s="119">
        <f t="shared" si="42"/>
        <v>3163.6</v>
      </c>
      <c r="G63" s="119">
        <f t="shared" si="42"/>
        <v>2138.9</v>
      </c>
      <c r="H63" s="119">
        <f t="shared" si="42"/>
        <v>1470.6999999999998</v>
      </c>
      <c r="I63" s="119">
        <f t="shared" si="42"/>
        <v>1911.6</v>
      </c>
      <c r="J63" s="119">
        <f t="shared" si="42"/>
        <v>1907.3999999999999</v>
      </c>
      <c r="K63" s="119">
        <f t="shared" si="42"/>
        <v>1720</v>
      </c>
      <c r="L63" s="119">
        <f t="shared" si="42"/>
        <v>1317.7</v>
      </c>
      <c r="M63" s="119">
        <f t="shared" si="42"/>
        <v>1487.0000000000002</v>
      </c>
      <c r="N63" s="119">
        <f t="shared" si="42"/>
        <v>1565.2</v>
      </c>
      <c r="O63" s="119">
        <f t="shared" si="42"/>
        <v>1556.9</v>
      </c>
      <c r="P63" s="119">
        <f t="shared" si="42"/>
        <v>-222.3</v>
      </c>
      <c r="Q63" s="119">
        <f t="shared" si="42"/>
        <v>1693</v>
      </c>
      <c r="R63" s="119">
        <f t="shared" si="42"/>
        <v>2433.1999999999998</v>
      </c>
      <c r="S63" s="119">
        <f t="shared" si="42"/>
        <v>2058.9</v>
      </c>
    </row>
    <row r="64" spans="1:25" ht="20" thickTop="1" x14ac:dyDescent="0.25"/>
    <row r="65" spans="2:19" x14ac:dyDescent="0.25">
      <c r="B65" s="57"/>
      <c r="C65" s="57"/>
      <c r="D65" s="57"/>
      <c r="E65" s="57"/>
      <c r="F65" s="57"/>
      <c r="G65" s="57"/>
      <c r="H65" s="57"/>
      <c r="I65" s="57"/>
      <c r="J65" s="57"/>
      <c r="K65" s="57"/>
      <c r="L65" s="57"/>
      <c r="M65" s="57"/>
      <c r="N65" s="57"/>
      <c r="O65" s="57"/>
      <c r="P65" s="57"/>
      <c r="Q65" s="57"/>
      <c r="R65" s="57"/>
      <c r="S65" s="57"/>
    </row>
    <row r="66" spans="2:19" x14ac:dyDescent="0.25">
      <c r="B66" s="115"/>
      <c r="C66" s="115"/>
      <c r="D66" s="115"/>
      <c r="E66" s="115"/>
      <c r="F66" s="115"/>
      <c r="G66" s="115"/>
      <c r="H66" s="115"/>
      <c r="I66" s="115"/>
      <c r="J66" s="115"/>
      <c r="K66" s="115"/>
      <c r="L66" s="115"/>
      <c r="M66" s="115"/>
      <c r="N66" s="115"/>
      <c r="O66" s="115"/>
      <c r="P66" s="115"/>
      <c r="Q66" s="115"/>
      <c r="R66" s="115"/>
      <c r="S66" s="115"/>
    </row>
  </sheetData>
  <mergeCells count="37">
    <mergeCell ref="B3:C3"/>
    <mergeCell ref="B21:C21"/>
    <mergeCell ref="D3:E3"/>
    <mergeCell ref="N21:O21"/>
    <mergeCell ref="L21:M21"/>
    <mergeCell ref="J21:K21"/>
    <mergeCell ref="H21:I21"/>
    <mergeCell ref="F21:G21"/>
    <mergeCell ref="D21:E21"/>
    <mergeCell ref="N3:O3"/>
    <mergeCell ref="L3:M3"/>
    <mergeCell ref="J3:K3"/>
    <mergeCell ref="H3:I3"/>
    <mergeCell ref="F3:G3"/>
    <mergeCell ref="AD21:AE21"/>
    <mergeCell ref="T21:U21"/>
    <mergeCell ref="X13:AK13"/>
    <mergeCell ref="AH21:AI21"/>
    <mergeCell ref="AF21:AG21"/>
    <mergeCell ref="V21:W21"/>
    <mergeCell ref="X21:Y21"/>
    <mergeCell ref="P21:Q21"/>
    <mergeCell ref="R3:S3"/>
    <mergeCell ref="R21:S21"/>
    <mergeCell ref="AJ21:AK21"/>
    <mergeCell ref="AJ3:AK3"/>
    <mergeCell ref="AH3:AI3"/>
    <mergeCell ref="AF3:AG3"/>
    <mergeCell ref="AD3:AE3"/>
    <mergeCell ref="AB3:AC3"/>
    <mergeCell ref="Z3:AA3"/>
    <mergeCell ref="X3:Y3"/>
    <mergeCell ref="V3:W3"/>
    <mergeCell ref="T3:U3"/>
    <mergeCell ref="P3:Q3"/>
    <mergeCell ref="Z21:AA21"/>
    <mergeCell ref="AB21:AC21"/>
  </mergeCells>
  <pageMargins left="0.7" right="0.7" top="0.75" bottom="0.75" header="0.3" footer="0.3"/>
  <pageSetup orientation="portrait" r:id="rId1"/>
  <ignoredErrors>
    <ignoredError sqref="AG12" formulaRange="1"/>
    <ignoredError sqref="I35:S35 I39:S39 H24:H28 H45 B35:G35 B39:G39 D50:D51 D53:D55 D62 B56 B52:S52 H33:H43 D57:D60 D56:S5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sheetPr>
  <dimension ref="A1:Z74"/>
  <sheetViews>
    <sheetView workbookViewId="0"/>
  </sheetViews>
  <sheetFormatPr baseColWidth="10" defaultColWidth="9.1640625" defaultRowHeight="19" x14ac:dyDescent="0.25"/>
  <cols>
    <col min="1" max="1" width="53.1640625" style="54" bestFit="1" customWidth="1"/>
    <col min="2" max="23" width="10.83203125" style="54" customWidth="1"/>
    <col min="24" max="16384" width="9.1640625" style="54"/>
  </cols>
  <sheetData>
    <row r="1" spans="1:26" ht="24" x14ac:dyDescent="0.3">
      <c r="A1" s="19" t="s">
        <v>248</v>
      </c>
      <c r="B1" s="85"/>
      <c r="C1" s="85"/>
      <c r="D1" s="85"/>
      <c r="E1" s="85"/>
      <c r="F1" s="85"/>
      <c r="G1" s="85"/>
      <c r="H1" s="85"/>
      <c r="I1" s="85"/>
      <c r="J1" s="53"/>
      <c r="K1" s="53"/>
    </row>
    <row r="2" spans="1:26" x14ac:dyDescent="0.25">
      <c r="A2" s="55" t="s">
        <v>358</v>
      </c>
      <c r="B2" s="55"/>
      <c r="C2" s="55"/>
      <c r="D2" s="55"/>
      <c r="E2" s="55"/>
      <c r="F2" s="55"/>
      <c r="G2" s="55"/>
      <c r="H2" s="55"/>
      <c r="I2" s="55"/>
      <c r="J2" s="55"/>
    </row>
    <row r="3" spans="1:26" x14ac:dyDescent="0.25">
      <c r="A3" s="149" t="s">
        <v>85</v>
      </c>
      <c r="B3" s="150">
        <v>44834</v>
      </c>
      <c r="C3" s="146">
        <v>44561</v>
      </c>
      <c r="D3" s="146">
        <v>44196</v>
      </c>
      <c r="E3" s="146">
        <v>43830</v>
      </c>
      <c r="F3" s="146">
        <v>43465</v>
      </c>
      <c r="G3" s="146">
        <v>43100</v>
      </c>
      <c r="H3" s="146">
        <v>42735</v>
      </c>
      <c r="I3" s="146">
        <v>42369</v>
      </c>
      <c r="J3" s="146">
        <v>42004</v>
      </c>
      <c r="K3" s="146">
        <v>41639</v>
      </c>
      <c r="L3" s="146">
        <v>41274</v>
      </c>
      <c r="M3" s="146">
        <v>40908</v>
      </c>
      <c r="N3" s="146">
        <v>40543</v>
      </c>
      <c r="O3" s="146">
        <v>40178</v>
      </c>
      <c r="P3" s="146">
        <v>39813</v>
      </c>
      <c r="Q3" s="146">
        <v>39447</v>
      </c>
      <c r="R3" s="146">
        <v>39082</v>
      </c>
      <c r="S3" s="146">
        <v>38717</v>
      </c>
      <c r="T3" s="146">
        <v>38352</v>
      </c>
      <c r="U3" s="146">
        <v>37986</v>
      </c>
      <c r="V3" s="146">
        <v>37621</v>
      </c>
      <c r="W3" s="146">
        <v>37256</v>
      </c>
    </row>
    <row r="4" spans="1:26" x14ac:dyDescent="0.25">
      <c r="A4" s="53" t="s">
        <v>79</v>
      </c>
      <c r="B4" s="57"/>
      <c r="C4" s="57"/>
      <c r="D4" s="57"/>
      <c r="E4" s="57"/>
      <c r="F4" s="57"/>
      <c r="G4" s="57"/>
      <c r="H4" s="57"/>
      <c r="I4" s="57"/>
      <c r="J4" s="57"/>
      <c r="K4" s="57"/>
      <c r="L4" s="57"/>
      <c r="M4" s="57"/>
      <c r="N4" s="57"/>
      <c r="O4" s="57"/>
      <c r="P4" s="57"/>
      <c r="Q4" s="57"/>
      <c r="R4" s="57"/>
      <c r="S4" s="57"/>
      <c r="T4" s="57"/>
      <c r="U4" s="57"/>
      <c r="V4" s="57"/>
      <c r="W4" s="57"/>
      <c r="X4" s="65"/>
      <c r="Y4" s="65"/>
      <c r="Z4" s="65"/>
    </row>
    <row r="5" spans="1:26" x14ac:dyDescent="0.25">
      <c r="A5" s="54" t="s">
        <v>80</v>
      </c>
      <c r="B5" s="57">
        <v>22405.5</v>
      </c>
      <c r="C5" s="57">
        <v>18488.2</v>
      </c>
      <c r="D5" s="57">
        <v>12740</v>
      </c>
      <c r="E5" s="57">
        <v>13251.1</v>
      </c>
      <c r="F5" s="57">
        <v>9916.5</v>
      </c>
      <c r="G5" s="57">
        <v>6645.9</v>
      </c>
      <c r="H5" s="57">
        <v>2870.1</v>
      </c>
      <c r="I5" s="57">
        <v>2429.1999999999998</v>
      </c>
      <c r="J5" s="57">
        <v>2667.1</v>
      </c>
      <c r="K5" s="57">
        <v>3662.2</v>
      </c>
      <c r="L5" s="57">
        <v>2896.5</v>
      </c>
      <c r="M5" s="57">
        <v>2963</v>
      </c>
      <c r="N5" s="57">
        <v>3242.6</v>
      </c>
      <c r="O5" s="57">
        <v>4817.5</v>
      </c>
      <c r="P5" s="57">
        <v>3693.6</v>
      </c>
      <c r="Q5" s="57">
        <v>1207.0999999999999</v>
      </c>
      <c r="R5" s="57">
        <v>3203.4</v>
      </c>
      <c r="S5" s="57">
        <v>2245.3000000000002</v>
      </c>
      <c r="T5" s="57">
        <v>1962.5</v>
      </c>
      <c r="U5" s="57">
        <v>1312.2</v>
      </c>
      <c r="V5" s="57">
        <v>1646.9</v>
      </c>
      <c r="W5" s="57">
        <v>667.7</v>
      </c>
      <c r="X5" s="65"/>
      <c r="Y5" s="65"/>
      <c r="Z5" s="65"/>
    </row>
    <row r="6" spans="1:26" x14ac:dyDescent="0.25">
      <c r="A6" s="54" t="s">
        <v>81</v>
      </c>
      <c r="B6" s="57">
        <v>1925.5</v>
      </c>
      <c r="C6" s="57">
        <v>2185.3000000000002</v>
      </c>
      <c r="D6" s="57">
        <v>3221.8</v>
      </c>
      <c r="E6" s="57">
        <v>1713.3</v>
      </c>
      <c r="F6" s="57">
        <v>1649.1</v>
      </c>
      <c r="G6" s="57">
        <v>2297.1</v>
      </c>
      <c r="H6" s="57">
        <v>2502.6</v>
      </c>
      <c r="I6" s="57">
        <v>2721.4</v>
      </c>
      <c r="J6" s="57">
        <v>2139.1999999999998</v>
      </c>
      <c r="K6" s="57">
        <v>2256</v>
      </c>
      <c r="L6" s="57">
        <v>1964.4</v>
      </c>
      <c r="M6" s="57">
        <v>2002.1</v>
      </c>
      <c r="N6" s="57">
        <v>1989.1</v>
      </c>
      <c r="O6" s="57">
        <v>2024</v>
      </c>
      <c r="P6" s="57">
        <v>3004.4</v>
      </c>
      <c r="Q6" s="57">
        <v>3745.1</v>
      </c>
      <c r="R6" s="57">
        <v>3119.7</v>
      </c>
      <c r="S6" s="57">
        <v>3635.9</v>
      </c>
      <c r="T6" s="57">
        <v>2940.4</v>
      </c>
      <c r="U6" s="57">
        <v>2930.2</v>
      </c>
      <c r="V6" s="57">
        <v>1976</v>
      </c>
      <c r="W6" s="57">
        <v>1084.5999999999999</v>
      </c>
      <c r="X6" s="65"/>
      <c r="Y6" s="65"/>
      <c r="Z6" s="65"/>
    </row>
    <row r="7" spans="1:26" x14ac:dyDescent="0.25">
      <c r="A7" s="54" t="s">
        <v>110</v>
      </c>
      <c r="B7" s="57">
        <v>15.3</v>
      </c>
      <c r="C7" s="57">
        <v>17.899999999999999</v>
      </c>
      <c r="D7" s="57">
        <v>0</v>
      </c>
      <c r="E7" s="57">
        <v>0</v>
      </c>
      <c r="F7" s="57">
        <v>0</v>
      </c>
      <c r="G7" s="57">
        <v>0</v>
      </c>
      <c r="H7" s="57">
        <v>24.5</v>
      </c>
      <c r="I7" s="57">
        <v>18.600000000000001</v>
      </c>
      <c r="J7" s="57">
        <v>14.2</v>
      </c>
      <c r="K7" s="57">
        <v>15.6</v>
      </c>
      <c r="L7" s="57">
        <v>0</v>
      </c>
      <c r="M7" s="57">
        <v>0</v>
      </c>
      <c r="N7" s="57">
        <v>0</v>
      </c>
      <c r="O7" s="57">
        <v>0</v>
      </c>
      <c r="P7" s="57">
        <v>16.399999999999999</v>
      </c>
      <c r="Q7" s="57">
        <v>30.2</v>
      </c>
      <c r="R7" s="57">
        <v>29.8</v>
      </c>
      <c r="S7" s="57">
        <v>30.3</v>
      </c>
      <c r="T7" s="57">
        <v>31.4</v>
      </c>
      <c r="U7" s="57">
        <v>14.6</v>
      </c>
      <c r="V7" s="57">
        <v>26.4</v>
      </c>
      <c r="W7" s="57">
        <v>39.1</v>
      </c>
      <c r="X7" s="65"/>
      <c r="Y7" s="65"/>
      <c r="Z7" s="65"/>
    </row>
    <row r="8" spans="1:26" x14ac:dyDescent="0.25">
      <c r="A8" s="54" t="s">
        <v>82</v>
      </c>
      <c r="B8" s="57">
        <v>9228.4</v>
      </c>
      <c r="C8" s="57">
        <v>10692.1</v>
      </c>
      <c r="D8" s="57">
        <v>10185.200000000001</v>
      </c>
      <c r="E8" s="57">
        <v>7067.7</v>
      </c>
      <c r="F8" s="57">
        <v>8694.2999999999993</v>
      </c>
      <c r="G8" s="57">
        <v>4997.7</v>
      </c>
      <c r="H8" s="57">
        <v>4550.8999999999996</v>
      </c>
      <c r="I8" s="57">
        <v>3691.6</v>
      </c>
      <c r="J8" s="57">
        <v>2836.7</v>
      </c>
      <c r="K8" s="57">
        <v>2926.6</v>
      </c>
      <c r="L8" s="57">
        <v>3113</v>
      </c>
      <c r="M8" s="57">
        <v>2896.2</v>
      </c>
      <c r="N8" s="57">
        <v>2646.1</v>
      </c>
      <c r="O8" s="57">
        <v>1281.4000000000001</v>
      </c>
      <c r="P8" s="57">
        <v>639.29999999999995</v>
      </c>
      <c r="Q8" s="57">
        <v>1078.4000000000001</v>
      </c>
      <c r="R8" s="57">
        <v>1116.8</v>
      </c>
      <c r="S8" s="57">
        <v>1812.6</v>
      </c>
      <c r="T8" s="57">
        <v>1781.3</v>
      </c>
      <c r="U8" s="57">
        <v>1833.8</v>
      </c>
      <c r="V8" s="57">
        <v>1512.8</v>
      </c>
      <c r="W8" s="57">
        <v>1852.2</v>
      </c>
      <c r="X8" s="65"/>
      <c r="Y8" s="65"/>
      <c r="Z8" s="65"/>
    </row>
    <row r="9" spans="1:26" x14ac:dyDescent="0.25">
      <c r="A9" s="54" t="s">
        <v>86</v>
      </c>
      <c r="B9" s="57">
        <v>723</v>
      </c>
      <c r="C9" s="57">
        <v>790</v>
      </c>
      <c r="D9" s="57">
        <v>509.5</v>
      </c>
      <c r="E9" s="57">
        <v>627.5</v>
      </c>
      <c r="F9" s="57">
        <v>734.4</v>
      </c>
      <c r="G9" s="57">
        <v>836.7</v>
      </c>
      <c r="H9" s="57">
        <v>1458.7</v>
      </c>
      <c r="I9" s="57">
        <v>1726.7</v>
      </c>
      <c r="J9" s="57">
        <v>1658.5</v>
      </c>
      <c r="K9" s="57">
        <v>1127.9000000000001</v>
      </c>
      <c r="L9" s="57">
        <v>428.2</v>
      </c>
      <c r="M9" s="57">
        <v>426.9</v>
      </c>
      <c r="N9" s="57">
        <v>563.6</v>
      </c>
      <c r="O9" s="57">
        <v>516.4</v>
      </c>
      <c r="P9" s="57">
        <v>623</v>
      </c>
      <c r="Q9" s="210">
        <v>2511.6</v>
      </c>
      <c r="R9" s="210">
        <v>2390.1</v>
      </c>
      <c r="S9" s="210">
        <v>2376</v>
      </c>
      <c r="T9" s="210">
        <v>2368.6999999999998</v>
      </c>
      <c r="U9" s="210">
        <v>3042.6</v>
      </c>
      <c r="V9" s="210">
        <v>2550.4</v>
      </c>
      <c r="W9" s="210">
        <v>2305.4</v>
      </c>
      <c r="X9" s="65"/>
      <c r="Y9" s="65"/>
      <c r="Z9" s="65"/>
    </row>
    <row r="10" spans="1:26" x14ac:dyDescent="0.25">
      <c r="A10" s="54" t="s">
        <v>118</v>
      </c>
      <c r="B10" s="57">
        <v>0</v>
      </c>
      <c r="C10" s="57">
        <v>0</v>
      </c>
      <c r="D10" s="57">
        <v>0</v>
      </c>
      <c r="E10" s="57">
        <v>0</v>
      </c>
      <c r="F10" s="57">
        <v>0</v>
      </c>
      <c r="G10" s="57">
        <v>0</v>
      </c>
      <c r="H10" s="57">
        <v>40.6</v>
      </c>
      <c r="I10" s="57">
        <v>89.3</v>
      </c>
      <c r="J10" s="57">
        <v>0</v>
      </c>
      <c r="K10" s="57">
        <v>0</v>
      </c>
      <c r="L10" s="57">
        <v>0</v>
      </c>
      <c r="M10" s="57">
        <v>0</v>
      </c>
      <c r="N10" s="57">
        <v>0</v>
      </c>
      <c r="O10" s="57">
        <v>0</v>
      </c>
      <c r="P10" s="57">
        <v>0</v>
      </c>
      <c r="Q10" s="210"/>
      <c r="R10" s="210"/>
      <c r="S10" s="210"/>
      <c r="T10" s="210"/>
      <c r="U10" s="210"/>
      <c r="V10" s="210"/>
      <c r="W10" s="210"/>
      <c r="X10" s="65"/>
      <c r="Y10" s="65"/>
      <c r="Z10" s="65"/>
    </row>
    <row r="11" spans="1:26" x14ac:dyDescent="0.25">
      <c r="A11" s="54" t="s">
        <v>87</v>
      </c>
      <c r="B11" s="57">
        <v>5087.8999999999996</v>
      </c>
      <c r="C11" s="57">
        <v>6535.6</v>
      </c>
      <c r="D11" s="57">
        <v>6175.1</v>
      </c>
      <c r="E11" s="57">
        <v>5076.2</v>
      </c>
      <c r="F11" s="57">
        <v>3301.6</v>
      </c>
      <c r="G11" s="57">
        <v>2758.6</v>
      </c>
      <c r="H11" s="57">
        <v>2253.4</v>
      </c>
      <c r="I11" s="57">
        <v>2653.2</v>
      </c>
      <c r="J11" s="57">
        <v>2315.6</v>
      </c>
      <c r="K11" s="57">
        <v>2160.5</v>
      </c>
      <c r="L11" s="57">
        <v>2048.6999999999998</v>
      </c>
      <c r="M11" s="57">
        <v>1876.6</v>
      </c>
      <c r="N11" s="57">
        <v>1832.1</v>
      </c>
      <c r="O11" s="57">
        <v>1590.1</v>
      </c>
      <c r="P11" s="57">
        <v>1450</v>
      </c>
      <c r="Q11" s="210"/>
      <c r="R11" s="210"/>
      <c r="S11" s="210"/>
      <c r="T11" s="210"/>
      <c r="U11" s="210"/>
      <c r="V11" s="210"/>
      <c r="W11" s="210"/>
      <c r="X11" s="65"/>
      <c r="Y11" s="65"/>
      <c r="Z11" s="65"/>
    </row>
    <row r="12" spans="1:26" x14ac:dyDescent="0.25">
      <c r="A12" s="54" t="s">
        <v>88</v>
      </c>
      <c r="B12" s="57">
        <v>4605.8999999999996</v>
      </c>
      <c r="C12" s="57">
        <v>4982.3</v>
      </c>
      <c r="D12" s="57">
        <v>3784.6</v>
      </c>
      <c r="E12" s="57">
        <v>5179.5</v>
      </c>
      <c r="F12" s="57">
        <v>3577.3</v>
      </c>
      <c r="G12" s="57">
        <v>2454.6999999999998</v>
      </c>
      <c r="H12" s="57">
        <v>2351.1</v>
      </c>
      <c r="I12" s="57">
        <v>1767.9</v>
      </c>
      <c r="J12" s="57">
        <v>1638.7</v>
      </c>
      <c r="K12" s="57">
        <v>1077.7</v>
      </c>
      <c r="L12" s="57">
        <v>948.6</v>
      </c>
      <c r="M12" s="57">
        <v>1220.5999999999999</v>
      </c>
      <c r="N12" s="57">
        <v>1074</v>
      </c>
      <c r="O12" s="57">
        <v>726.2</v>
      </c>
      <c r="P12" s="57">
        <v>129.1</v>
      </c>
      <c r="Q12" s="210"/>
      <c r="R12" s="210"/>
      <c r="S12" s="210"/>
      <c r="T12" s="210"/>
      <c r="U12" s="210"/>
      <c r="V12" s="210"/>
      <c r="W12" s="210"/>
      <c r="X12" s="65"/>
      <c r="Y12" s="65"/>
      <c r="Z12" s="65"/>
    </row>
    <row r="13" spans="1:26" x14ac:dyDescent="0.25">
      <c r="A13" s="54" t="s">
        <v>89</v>
      </c>
      <c r="B13" s="57">
        <v>181.6</v>
      </c>
      <c r="C13" s="57">
        <v>181.7</v>
      </c>
      <c r="D13" s="57">
        <v>194.7</v>
      </c>
      <c r="E13" s="57">
        <v>195</v>
      </c>
      <c r="F13" s="57">
        <v>238.3</v>
      </c>
      <c r="G13" s="57">
        <v>211</v>
      </c>
      <c r="H13" s="57">
        <v>191.9</v>
      </c>
      <c r="I13" s="57">
        <v>234.3</v>
      </c>
      <c r="J13" s="57">
        <v>279.2</v>
      </c>
      <c r="K13" s="57">
        <v>313.89999999999998</v>
      </c>
      <c r="L13" s="57">
        <v>374.7</v>
      </c>
      <c r="M13" s="57">
        <v>373.9</v>
      </c>
      <c r="N13" s="57">
        <v>502.5</v>
      </c>
      <c r="O13" s="57">
        <v>606.70000000000005</v>
      </c>
      <c r="P13" s="57">
        <v>387.9</v>
      </c>
      <c r="Q13" s="57">
        <v>612.5</v>
      </c>
      <c r="R13" s="57">
        <v>99.1</v>
      </c>
      <c r="S13" s="57">
        <v>121.8</v>
      </c>
      <c r="T13" s="57">
        <v>0</v>
      </c>
      <c r="U13" s="57">
        <v>0</v>
      </c>
      <c r="V13" s="57">
        <v>0</v>
      </c>
      <c r="W13" s="57">
        <v>0</v>
      </c>
      <c r="X13" s="65"/>
      <c r="Y13" s="65"/>
      <c r="Z13" s="65"/>
    </row>
    <row r="14" spans="1:26" x14ac:dyDescent="0.25">
      <c r="A14" s="54" t="s">
        <v>96</v>
      </c>
      <c r="B14" s="57">
        <v>0</v>
      </c>
      <c r="C14" s="57">
        <v>0</v>
      </c>
      <c r="D14" s="57">
        <v>0</v>
      </c>
      <c r="E14" s="57">
        <v>0</v>
      </c>
      <c r="F14" s="57">
        <v>0</v>
      </c>
      <c r="G14" s="57">
        <v>0</v>
      </c>
      <c r="H14" s="57">
        <v>0</v>
      </c>
      <c r="I14" s="57">
        <v>0</v>
      </c>
      <c r="J14" s="57">
        <v>0</v>
      </c>
      <c r="K14" s="57">
        <v>0</v>
      </c>
      <c r="L14" s="57">
        <v>0</v>
      </c>
      <c r="M14" s="57">
        <v>0</v>
      </c>
      <c r="N14" s="57">
        <v>0</v>
      </c>
      <c r="O14" s="57">
        <v>1.1000000000000001</v>
      </c>
      <c r="P14" s="57">
        <v>3</v>
      </c>
      <c r="Q14" s="57">
        <v>0</v>
      </c>
      <c r="R14" s="57">
        <v>0</v>
      </c>
      <c r="S14" s="57">
        <v>0</v>
      </c>
      <c r="T14" s="57">
        <v>0</v>
      </c>
      <c r="U14" s="57">
        <v>0</v>
      </c>
      <c r="V14" s="57">
        <v>0</v>
      </c>
      <c r="W14" s="57">
        <v>0</v>
      </c>
      <c r="X14" s="65"/>
      <c r="Y14" s="65"/>
      <c r="Z14" s="65"/>
    </row>
    <row r="15" spans="1:26" x14ac:dyDescent="0.25">
      <c r="A15" s="53" t="s">
        <v>90</v>
      </c>
      <c r="B15" s="73">
        <f t="shared" ref="B15:M15" si="0">SUM(B5:B14)</f>
        <v>44173.1</v>
      </c>
      <c r="C15" s="73">
        <f t="shared" si="0"/>
        <v>43873.1</v>
      </c>
      <c r="D15" s="73">
        <f t="shared" si="0"/>
        <v>36810.899999999994</v>
      </c>
      <c r="E15" s="73">
        <f t="shared" si="0"/>
        <v>33110.300000000003</v>
      </c>
      <c r="F15" s="73">
        <f t="shared" si="0"/>
        <v>28111.5</v>
      </c>
      <c r="G15" s="73">
        <f t="shared" si="0"/>
        <v>20201.7</v>
      </c>
      <c r="H15" s="73">
        <f t="shared" si="0"/>
        <v>16243.8</v>
      </c>
      <c r="I15" s="73">
        <f t="shared" si="0"/>
        <v>15332.199999999999</v>
      </c>
      <c r="J15" s="73">
        <f t="shared" si="0"/>
        <v>13549.2</v>
      </c>
      <c r="K15" s="73">
        <f t="shared" si="0"/>
        <v>13540.4</v>
      </c>
      <c r="L15" s="73">
        <f t="shared" si="0"/>
        <v>11774.1</v>
      </c>
      <c r="M15" s="73">
        <f t="shared" si="0"/>
        <v>11759.300000000001</v>
      </c>
      <c r="N15" s="73">
        <f t="shared" ref="N15:W15" si="1">SUM(N5:N14)</f>
        <v>11850</v>
      </c>
      <c r="O15" s="73">
        <f t="shared" si="1"/>
        <v>11563.400000000001</v>
      </c>
      <c r="P15" s="73">
        <f t="shared" si="1"/>
        <v>9946.7000000000007</v>
      </c>
      <c r="Q15" s="73">
        <f t="shared" si="1"/>
        <v>9184.9</v>
      </c>
      <c r="R15" s="73">
        <f t="shared" si="1"/>
        <v>9958.9000000000015</v>
      </c>
      <c r="S15" s="73">
        <f t="shared" si="1"/>
        <v>10221.9</v>
      </c>
      <c r="T15" s="73">
        <f t="shared" si="1"/>
        <v>9084.2999999999993</v>
      </c>
      <c r="U15" s="73">
        <f t="shared" si="1"/>
        <v>9133.4</v>
      </c>
      <c r="V15" s="73">
        <f t="shared" si="1"/>
        <v>7712.5</v>
      </c>
      <c r="W15" s="73">
        <f t="shared" si="1"/>
        <v>5949</v>
      </c>
      <c r="X15" s="65"/>
      <c r="Y15" s="65"/>
      <c r="Z15" s="65"/>
    </row>
    <row r="16" spans="1:26" x14ac:dyDescent="0.25">
      <c r="A16" s="53" t="s">
        <v>91</v>
      </c>
      <c r="B16" s="57"/>
      <c r="C16" s="57"/>
      <c r="D16" s="57"/>
      <c r="E16" s="57"/>
      <c r="F16" s="57"/>
      <c r="G16" s="57"/>
      <c r="H16" s="57"/>
      <c r="I16" s="57"/>
      <c r="J16" s="57"/>
      <c r="K16" s="57"/>
      <c r="L16" s="57"/>
      <c r="M16" s="57"/>
      <c r="N16" s="57"/>
      <c r="O16" s="57"/>
      <c r="P16" s="57"/>
      <c r="Q16" s="57"/>
      <c r="R16" s="57"/>
      <c r="S16" s="57"/>
      <c r="T16" s="57"/>
      <c r="U16" s="57"/>
      <c r="V16" s="57"/>
      <c r="W16" s="57"/>
      <c r="X16" s="65"/>
      <c r="Y16" s="65"/>
      <c r="Z16" s="65"/>
    </row>
    <row r="17" spans="1:26" x14ac:dyDescent="0.25">
      <c r="A17" s="54" t="s">
        <v>92</v>
      </c>
      <c r="B17" s="57">
        <v>1254.4000000000001</v>
      </c>
      <c r="C17" s="57">
        <v>1639.9</v>
      </c>
      <c r="D17" s="57">
        <v>1447.9</v>
      </c>
      <c r="E17" s="57">
        <v>1038.9000000000001</v>
      </c>
      <c r="F17" s="57">
        <v>1033.9000000000001</v>
      </c>
      <c r="G17" s="57">
        <v>803.8</v>
      </c>
      <c r="H17" s="57">
        <v>853.5</v>
      </c>
      <c r="I17" s="57">
        <v>782.6</v>
      </c>
      <c r="J17" s="57">
        <v>827.5</v>
      </c>
      <c r="K17" s="57">
        <v>711.2</v>
      </c>
      <c r="L17" s="57">
        <v>812.4</v>
      </c>
      <c r="M17" s="57">
        <v>806.3</v>
      </c>
      <c r="N17" s="57">
        <v>1157.5999999999999</v>
      </c>
      <c r="O17" s="57">
        <v>1255.8</v>
      </c>
      <c r="P17" s="57">
        <v>1150</v>
      </c>
      <c r="Q17" s="57">
        <v>2270.3000000000002</v>
      </c>
      <c r="R17" s="57">
        <v>1781</v>
      </c>
      <c r="S17" s="57">
        <v>1220.3</v>
      </c>
      <c r="T17" s="57">
        <v>768.9</v>
      </c>
      <c r="U17" s="57">
        <v>778.8</v>
      </c>
      <c r="V17" s="57">
        <v>656.7</v>
      </c>
      <c r="W17" s="57">
        <v>713.9</v>
      </c>
      <c r="X17" s="65"/>
      <c r="Y17" s="65"/>
      <c r="Z17" s="65"/>
    </row>
    <row r="18" spans="1:26" x14ac:dyDescent="0.25">
      <c r="A18" s="54" t="s">
        <v>93</v>
      </c>
      <c r="B18" s="57">
        <v>2665.3</v>
      </c>
      <c r="C18" s="57">
        <v>5058.5</v>
      </c>
      <c r="D18" s="57">
        <v>4053</v>
      </c>
      <c r="E18" s="57">
        <v>3306.3</v>
      </c>
      <c r="F18" s="57">
        <v>2626.1</v>
      </c>
      <c r="G18" s="57">
        <v>3399.8</v>
      </c>
      <c r="H18" s="57">
        <v>2812.4</v>
      </c>
      <c r="I18" s="57">
        <v>2650.5</v>
      </c>
      <c r="J18" s="57">
        <v>2492.3000000000002</v>
      </c>
      <c r="K18" s="57">
        <v>2530.5</v>
      </c>
      <c r="L18" s="57">
        <v>1899</v>
      </c>
      <c r="M18" s="57">
        <v>1845.6</v>
      </c>
      <c r="N18" s="57">
        <v>1425</v>
      </c>
      <c r="O18" s="57">
        <v>816.2</v>
      </c>
      <c r="P18" s="57">
        <v>727.8</v>
      </c>
      <c r="Q18" s="57">
        <v>2327.5</v>
      </c>
      <c r="R18" s="57">
        <v>2368.1</v>
      </c>
      <c r="S18" s="57">
        <v>2058.9</v>
      </c>
      <c r="T18" s="57">
        <v>1851.9</v>
      </c>
      <c r="U18" s="57">
        <v>1972.1</v>
      </c>
      <c r="V18" s="57">
        <v>1347.3</v>
      </c>
      <c r="W18" s="57">
        <v>1336</v>
      </c>
      <c r="X18" s="65"/>
      <c r="Y18" s="65"/>
      <c r="Z18" s="65"/>
    </row>
    <row r="19" spans="1:26" x14ac:dyDescent="0.25">
      <c r="A19" s="53" t="s">
        <v>94</v>
      </c>
      <c r="B19" s="73">
        <f t="shared" ref="B19:M19" si="2">SUM(B17:B18)</f>
        <v>3919.7000000000003</v>
      </c>
      <c r="C19" s="73">
        <f t="shared" si="2"/>
        <v>6698.4</v>
      </c>
      <c r="D19" s="73">
        <f t="shared" si="2"/>
        <v>5500.9</v>
      </c>
      <c r="E19" s="73">
        <f t="shared" si="2"/>
        <v>4345.2000000000007</v>
      </c>
      <c r="F19" s="73">
        <f t="shared" si="2"/>
        <v>3660</v>
      </c>
      <c r="G19" s="73">
        <f t="shared" si="2"/>
        <v>4203.6000000000004</v>
      </c>
      <c r="H19" s="73">
        <f t="shared" si="2"/>
        <v>3665.9</v>
      </c>
      <c r="I19" s="73">
        <f t="shared" si="2"/>
        <v>3433.1</v>
      </c>
      <c r="J19" s="73">
        <f t="shared" si="2"/>
        <v>3319.8</v>
      </c>
      <c r="K19" s="73">
        <f t="shared" si="2"/>
        <v>3241.7</v>
      </c>
      <c r="L19" s="73">
        <f t="shared" si="2"/>
        <v>2711.4</v>
      </c>
      <c r="M19" s="73">
        <f t="shared" si="2"/>
        <v>2651.8999999999996</v>
      </c>
      <c r="N19" s="73">
        <f t="shared" ref="N19:S19" si="3">SUM(N17:N18)</f>
        <v>2582.6</v>
      </c>
      <c r="O19" s="73">
        <f t="shared" si="3"/>
        <v>2072</v>
      </c>
      <c r="P19" s="73">
        <f t="shared" si="3"/>
        <v>1877.8</v>
      </c>
      <c r="Q19" s="73">
        <f t="shared" si="3"/>
        <v>4597.8</v>
      </c>
      <c r="R19" s="73">
        <f t="shared" si="3"/>
        <v>4149.1000000000004</v>
      </c>
      <c r="S19" s="73">
        <f t="shared" si="3"/>
        <v>3279.2</v>
      </c>
      <c r="T19" s="73">
        <f t="shared" ref="T19" si="4">SUM(T17:T18)</f>
        <v>2620.8000000000002</v>
      </c>
      <c r="U19" s="73">
        <f t="shared" ref="U19" si="5">SUM(U17:U18)</f>
        <v>2750.8999999999996</v>
      </c>
      <c r="V19" s="73">
        <f t="shared" ref="V19:W19" si="6">SUM(V17:V18)</f>
        <v>2004</v>
      </c>
      <c r="W19" s="73">
        <f t="shared" si="6"/>
        <v>2049.9</v>
      </c>
      <c r="X19" s="65"/>
      <c r="Y19" s="65"/>
      <c r="Z19" s="65"/>
    </row>
    <row r="20" spans="1:26" x14ac:dyDescent="0.25">
      <c r="A20" s="54" t="s">
        <v>83</v>
      </c>
      <c r="B20" s="57">
        <v>4237.6000000000004</v>
      </c>
      <c r="C20" s="57">
        <v>942.6</v>
      </c>
      <c r="D20" s="57">
        <v>5218.5</v>
      </c>
      <c r="E20" s="57">
        <v>1798.8</v>
      </c>
      <c r="F20" s="57">
        <v>1795.9</v>
      </c>
      <c r="G20" s="57">
        <v>2869.4</v>
      </c>
      <c r="H20" s="57">
        <v>3572.9</v>
      </c>
      <c r="I20" s="57">
        <v>2172</v>
      </c>
      <c r="J20" s="57">
        <v>2149</v>
      </c>
      <c r="K20" s="57">
        <v>1272.5999999999999</v>
      </c>
      <c r="L20" s="57">
        <v>1990</v>
      </c>
      <c r="M20" s="57">
        <v>1551.8</v>
      </c>
      <c r="N20" s="57">
        <v>1090.8</v>
      </c>
      <c r="O20" s="57">
        <v>1078</v>
      </c>
      <c r="P20" s="57">
        <v>1153.5999999999999</v>
      </c>
      <c r="Q20" s="57">
        <v>382.4</v>
      </c>
      <c r="R20" s="57">
        <f>99.4+69.4+412.4</f>
        <v>581.20000000000005</v>
      </c>
      <c r="S20" s="57">
        <f>280.2+105.1+388.3</f>
        <v>773.59999999999991</v>
      </c>
      <c r="T20" s="57">
        <v>1376.9</v>
      </c>
      <c r="U20" s="57">
        <v>648</v>
      </c>
      <c r="V20" s="57">
        <v>567.79999999999995</v>
      </c>
      <c r="W20" s="57">
        <v>227.4</v>
      </c>
      <c r="X20" s="65"/>
      <c r="Y20" s="65"/>
      <c r="Z20" s="65"/>
    </row>
    <row r="21" spans="1:26" ht="20" thickBot="1" x14ac:dyDescent="0.3">
      <c r="A21" s="53" t="s">
        <v>84</v>
      </c>
      <c r="B21" s="64">
        <f t="shared" ref="B21:M21" si="7">B15+B19+B20</f>
        <v>52330.399999999994</v>
      </c>
      <c r="C21" s="64">
        <f t="shared" si="7"/>
        <v>51514.1</v>
      </c>
      <c r="D21" s="64">
        <f t="shared" si="7"/>
        <v>47530.299999999996</v>
      </c>
      <c r="E21" s="64">
        <f t="shared" si="7"/>
        <v>39254.300000000003</v>
      </c>
      <c r="F21" s="64">
        <f t="shared" si="7"/>
        <v>33567.4</v>
      </c>
      <c r="G21" s="64">
        <f t="shared" si="7"/>
        <v>27274.700000000004</v>
      </c>
      <c r="H21" s="64">
        <f t="shared" si="7"/>
        <v>23482.600000000002</v>
      </c>
      <c r="I21" s="64">
        <f t="shared" si="7"/>
        <v>20937.3</v>
      </c>
      <c r="J21" s="64">
        <f t="shared" si="7"/>
        <v>19018</v>
      </c>
      <c r="K21" s="64">
        <f t="shared" si="7"/>
        <v>18054.699999999997</v>
      </c>
      <c r="L21" s="64">
        <f t="shared" si="7"/>
        <v>16475.5</v>
      </c>
      <c r="M21" s="64">
        <f t="shared" si="7"/>
        <v>15963</v>
      </c>
      <c r="N21" s="64">
        <f t="shared" ref="N21:S21" si="8">N15+N19+N20</f>
        <v>15523.4</v>
      </c>
      <c r="O21" s="64">
        <f t="shared" si="8"/>
        <v>14713.400000000001</v>
      </c>
      <c r="P21" s="64">
        <f t="shared" si="8"/>
        <v>12978.1</v>
      </c>
      <c r="Q21" s="64">
        <f t="shared" si="8"/>
        <v>14165.1</v>
      </c>
      <c r="R21" s="64">
        <f t="shared" si="8"/>
        <v>14689.200000000003</v>
      </c>
      <c r="S21" s="64">
        <f t="shared" si="8"/>
        <v>14274.699999999999</v>
      </c>
      <c r="T21" s="64">
        <f t="shared" ref="T21" si="9">T15+T19+T20</f>
        <v>13081.999999999998</v>
      </c>
      <c r="U21" s="64">
        <f t="shared" ref="U21" si="10">U15+U19+U20</f>
        <v>12532.3</v>
      </c>
      <c r="V21" s="64">
        <f t="shared" ref="V21:W21" si="11">V15+V19+V20</f>
        <v>10284.299999999999</v>
      </c>
      <c r="W21" s="64">
        <f t="shared" si="11"/>
        <v>8226.2999999999993</v>
      </c>
      <c r="X21" s="65"/>
      <c r="Y21" s="65"/>
      <c r="Z21" s="65"/>
    </row>
    <row r="22" spans="1:26" ht="20" thickTop="1" x14ac:dyDescent="0.25">
      <c r="B22" s="57"/>
      <c r="C22" s="57"/>
      <c r="D22" s="57"/>
      <c r="E22" s="57"/>
      <c r="F22" s="57"/>
      <c r="G22" s="57"/>
      <c r="H22" s="57"/>
      <c r="I22" s="57"/>
      <c r="J22" s="57"/>
      <c r="K22" s="57"/>
      <c r="L22" s="57"/>
      <c r="M22" s="57"/>
      <c r="N22" s="57"/>
      <c r="O22" s="57"/>
      <c r="P22" s="57"/>
      <c r="Q22" s="57"/>
      <c r="R22" s="57"/>
      <c r="S22" s="57"/>
      <c r="T22" s="57"/>
      <c r="U22" s="57"/>
      <c r="V22" s="57"/>
      <c r="W22" s="57"/>
    </row>
    <row r="23" spans="1:26" x14ac:dyDescent="0.25">
      <c r="B23" s="115"/>
      <c r="C23" s="115"/>
      <c r="D23" s="115"/>
      <c r="E23" s="115"/>
      <c r="F23" s="115"/>
      <c r="G23" s="115"/>
      <c r="H23" s="115"/>
      <c r="I23" s="115"/>
      <c r="J23" s="115"/>
      <c r="K23" s="115"/>
      <c r="L23" s="115"/>
      <c r="M23" s="115"/>
      <c r="N23" s="115"/>
      <c r="O23" s="115"/>
      <c r="P23" s="115"/>
      <c r="Q23" s="115"/>
      <c r="R23" s="115"/>
      <c r="S23" s="115"/>
      <c r="T23" s="115"/>
      <c r="U23" s="115"/>
      <c r="V23" s="115"/>
      <c r="W23" s="115"/>
    </row>
    <row r="24" spans="1:26" x14ac:dyDescent="0.25">
      <c r="A24" s="151" t="s">
        <v>95</v>
      </c>
      <c r="B24" s="150">
        <v>44834</v>
      </c>
      <c r="C24" s="146">
        <v>44561</v>
      </c>
      <c r="D24" s="146">
        <v>44196</v>
      </c>
      <c r="E24" s="146">
        <v>43830</v>
      </c>
      <c r="F24" s="146">
        <v>43465</v>
      </c>
      <c r="G24" s="146">
        <v>43100</v>
      </c>
      <c r="H24" s="146">
        <v>42735</v>
      </c>
      <c r="I24" s="146">
        <v>42369</v>
      </c>
      <c r="J24" s="146">
        <v>42004</v>
      </c>
      <c r="K24" s="146">
        <v>41639</v>
      </c>
      <c r="L24" s="146">
        <v>41274</v>
      </c>
      <c r="M24" s="146">
        <v>40908</v>
      </c>
      <c r="N24" s="146">
        <v>40543</v>
      </c>
      <c r="O24" s="146">
        <v>40178</v>
      </c>
      <c r="P24" s="146">
        <v>39813</v>
      </c>
      <c r="Q24" s="146">
        <v>39447</v>
      </c>
      <c r="R24" s="146">
        <v>39082</v>
      </c>
      <c r="S24" s="146">
        <v>38717</v>
      </c>
      <c r="T24" s="146">
        <v>38352</v>
      </c>
      <c r="U24" s="146">
        <v>37986</v>
      </c>
      <c r="V24" s="146">
        <v>37621</v>
      </c>
      <c r="W24" s="146">
        <v>37256</v>
      </c>
    </row>
    <row r="25" spans="1:26" x14ac:dyDescent="0.25">
      <c r="A25" s="54" t="s">
        <v>79</v>
      </c>
      <c r="I25" s="69"/>
      <c r="J25" s="69"/>
      <c r="K25" s="69"/>
      <c r="L25" s="69"/>
      <c r="M25" s="69"/>
      <c r="N25" s="69"/>
      <c r="O25" s="69"/>
      <c r="P25" s="69"/>
      <c r="Q25" s="69"/>
      <c r="R25" s="69"/>
      <c r="S25" s="69"/>
      <c r="T25" s="69"/>
      <c r="U25" s="69"/>
      <c r="V25" s="69"/>
      <c r="W25" s="57"/>
    </row>
    <row r="26" spans="1:26" x14ac:dyDescent="0.25">
      <c r="A26" s="54" t="s">
        <v>80</v>
      </c>
      <c r="B26" s="69">
        <f>B5/B$21</f>
        <v>0.42815457172121757</v>
      </c>
      <c r="C26" s="69">
        <f t="shared" ref="C26:H26" si="12">C5/C$21</f>
        <v>0.35889591393424325</v>
      </c>
      <c r="D26" s="69">
        <f t="shared" si="12"/>
        <v>0.26803954530057672</v>
      </c>
      <c r="E26" s="69">
        <f t="shared" si="12"/>
        <v>0.33757066104859851</v>
      </c>
      <c r="F26" s="69">
        <f t="shared" si="12"/>
        <v>0.29542055684980068</v>
      </c>
      <c r="G26" s="69">
        <f t="shared" si="12"/>
        <v>0.24366537487121759</v>
      </c>
      <c r="H26" s="69">
        <f t="shared" si="12"/>
        <v>0.12222241148765467</v>
      </c>
      <c r="I26" s="69">
        <f t="shared" ref="I26:W26" si="13">I5/I$21</f>
        <v>0.11602260081290328</v>
      </c>
      <c r="J26" s="69">
        <f t="shared" si="13"/>
        <v>0.14024082448206962</v>
      </c>
      <c r="K26" s="69">
        <f t="shared" si="13"/>
        <v>0.20283914991664223</v>
      </c>
      <c r="L26" s="69">
        <f t="shared" si="13"/>
        <v>0.1758065005614397</v>
      </c>
      <c r="M26" s="69">
        <f t="shared" si="13"/>
        <v>0.18561673870826287</v>
      </c>
      <c r="N26" s="69">
        <f t="shared" si="13"/>
        <v>0.20888465155829264</v>
      </c>
      <c r="O26" s="69">
        <f t="shared" si="13"/>
        <v>0.3274226215558606</v>
      </c>
      <c r="P26" s="69">
        <f t="shared" si="13"/>
        <v>0.28460252271133679</v>
      </c>
      <c r="Q26" s="69">
        <f t="shared" si="13"/>
        <v>8.521648276397624E-2</v>
      </c>
      <c r="R26" s="69">
        <f t="shared" si="13"/>
        <v>0.21807858835062491</v>
      </c>
      <c r="S26" s="69">
        <f t="shared" si="13"/>
        <v>0.15729227234197568</v>
      </c>
      <c r="T26" s="69">
        <f t="shared" si="13"/>
        <v>0.15001528818223514</v>
      </c>
      <c r="U26" s="69">
        <f t="shared" si="13"/>
        <v>0.104705441140094</v>
      </c>
      <c r="V26" s="69">
        <f t="shared" si="13"/>
        <v>0.16013729665606802</v>
      </c>
      <c r="W26" s="69">
        <f t="shared" si="13"/>
        <v>8.1166502558866094E-2</v>
      </c>
    </row>
    <row r="27" spans="1:26" x14ac:dyDescent="0.25">
      <c r="A27" s="54" t="s">
        <v>81</v>
      </c>
      <c r="B27" s="69">
        <f t="shared" ref="B27:H27" si="14">B6/B$21</f>
        <v>3.679505602861817E-2</v>
      </c>
      <c r="C27" s="69">
        <f t="shared" si="14"/>
        <v>4.2421395307304217E-2</v>
      </c>
      <c r="D27" s="69">
        <f t="shared" si="14"/>
        <v>6.7784129281742392E-2</v>
      </c>
      <c r="E27" s="69">
        <f t="shared" si="14"/>
        <v>4.3646173794972778E-2</v>
      </c>
      <c r="F27" s="69">
        <f t="shared" si="14"/>
        <v>4.9128023022337146E-2</v>
      </c>
      <c r="G27" s="69">
        <f t="shared" si="14"/>
        <v>8.422090802098646E-2</v>
      </c>
      <c r="H27" s="69">
        <f t="shared" si="14"/>
        <v>0.10657252604055767</v>
      </c>
      <c r="I27" s="69">
        <f t="shared" ref="I27:W27" si="15">I6/I$21</f>
        <v>0.12997855501903302</v>
      </c>
      <c r="J27" s="69">
        <f t="shared" si="15"/>
        <v>0.11248291092649068</v>
      </c>
      <c r="K27" s="69">
        <f t="shared" si="15"/>
        <v>0.12495361318659409</v>
      </c>
      <c r="L27" s="69">
        <f t="shared" si="15"/>
        <v>0.11923158629480138</v>
      </c>
      <c r="M27" s="69">
        <f t="shared" si="15"/>
        <v>0.12542128672555283</v>
      </c>
      <c r="N27" s="69">
        <f t="shared" si="15"/>
        <v>0.12813558885295748</v>
      </c>
      <c r="O27" s="69">
        <f t="shared" si="15"/>
        <v>0.13756167846996614</v>
      </c>
      <c r="P27" s="69">
        <f t="shared" si="15"/>
        <v>0.23149767685562603</v>
      </c>
      <c r="Q27" s="69">
        <f t="shared" si="15"/>
        <v>0.26438923833929867</v>
      </c>
      <c r="R27" s="69">
        <f t="shared" si="15"/>
        <v>0.21238052446695527</v>
      </c>
      <c r="S27" s="69">
        <f t="shared" si="15"/>
        <v>0.25470938093269913</v>
      </c>
      <c r="T27" s="69">
        <f t="shared" si="15"/>
        <v>0.22476685522091427</v>
      </c>
      <c r="U27" s="69">
        <f t="shared" si="15"/>
        <v>0.23381183023068391</v>
      </c>
      <c r="V27" s="69">
        <f t="shared" si="15"/>
        <v>0.19213753002148909</v>
      </c>
      <c r="W27" s="69">
        <f t="shared" si="15"/>
        <v>0.13184542260797685</v>
      </c>
    </row>
    <row r="28" spans="1:26" x14ac:dyDescent="0.25">
      <c r="A28" s="54" t="s">
        <v>110</v>
      </c>
      <c r="B28" s="69">
        <f t="shared" ref="B28:H28" si="16">B7/B$21</f>
        <v>2.9237307568831891E-4</v>
      </c>
      <c r="C28" s="69">
        <f t="shared" si="16"/>
        <v>3.4747768086795653E-4</v>
      </c>
      <c r="D28" s="69">
        <f t="shared" si="16"/>
        <v>0</v>
      </c>
      <c r="E28" s="69">
        <f t="shared" si="16"/>
        <v>0</v>
      </c>
      <c r="F28" s="69">
        <f t="shared" si="16"/>
        <v>0</v>
      </c>
      <c r="G28" s="69">
        <f t="shared" si="16"/>
        <v>0</v>
      </c>
      <c r="H28" s="69">
        <f t="shared" si="16"/>
        <v>1.0433256964731332E-3</v>
      </c>
      <c r="I28" s="69">
        <f t="shared" ref="I28:W28" si="17">I7/I$21</f>
        <v>8.8836669484604043E-4</v>
      </c>
      <c r="J28" s="69">
        <f t="shared" si="17"/>
        <v>7.4666105794510458E-4</v>
      </c>
      <c r="K28" s="69">
        <f t="shared" si="17"/>
        <v>8.640409422477251E-4</v>
      </c>
      <c r="L28" s="69">
        <f t="shared" si="17"/>
        <v>0</v>
      </c>
      <c r="M28" s="69">
        <f t="shared" si="17"/>
        <v>0</v>
      </c>
      <c r="N28" s="69">
        <f t="shared" si="17"/>
        <v>0</v>
      </c>
      <c r="O28" s="69">
        <f t="shared" si="17"/>
        <v>0</v>
      </c>
      <c r="P28" s="69">
        <f t="shared" si="17"/>
        <v>1.2636672548369944E-3</v>
      </c>
      <c r="Q28" s="69">
        <f t="shared" si="17"/>
        <v>2.1320004800530882E-3</v>
      </c>
      <c r="R28" s="69">
        <f t="shared" si="17"/>
        <v>2.0287013588214469E-3</v>
      </c>
      <c r="S28" s="69">
        <f t="shared" si="17"/>
        <v>2.1226365527821952E-3</v>
      </c>
      <c r="T28" s="69">
        <f t="shared" si="17"/>
        <v>2.4002446109157622E-3</v>
      </c>
      <c r="U28" s="69">
        <f t="shared" si="17"/>
        <v>1.1649896667012441E-3</v>
      </c>
      <c r="V28" s="69">
        <f t="shared" si="17"/>
        <v>2.5670196318660484E-3</v>
      </c>
      <c r="W28" s="69">
        <f t="shared" si="17"/>
        <v>4.7530481504443074E-3</v>
      </c>
    </row>
    <row r="29" spans="1:26" x14ac:dyDescent="0.25">
      <c r="A29" s="54" t="s">
        <v>82</v>
      </c>
      <c r="B29" s="69">
        <f t="shared" ref="B29:H29" si="18">B8/B$21</f>
        <v>0.1763487380184367</v>
      </c>
      <c r="C29" s="69">
        <f t="shared" si="18"/>
        <v>0.20755676601163567</v>
      </c>
      <c r="D29" s="69">
        <f t="shared" si="18"/>
        <v>0.21428856960717693</v>
      </c>
      <c r="E29" s="69">
        <f t="shared" si="18"/>
        <v>0.1800490646884545</v>
      </c>
      <c r="F29" s="69">
        <f t="shared" si="18"/>
        <v>0.25901023016378982</v>
      </c>
      <c r="G29" s="69">
        <f t="shared" si="18"/>
        <v>0.18323574594770975</v>
      </c>
      <c r="H29" s="69">
        <f t="shared" si="18"/>
        <v>0.19379881273794211</v>
      </c>
      <c r="I29" s="69">
        <f t="shared" ref="I29:W29" si="19">I8/I$21</f>
        <v>0.17631690810180872</v>
      </c>
      <c r="J29" s="69">
        <f t="shared" si="19"/>
        <v>0.14915869176569566</v>
      </c>
      <c r="K29" s="69">
        <f t="shared" si="19"/>
        <v>0.16209629625526872</v>
      </c>
      <c r="L29" s="69">
        <f t="shared" si="19"/>
        <v>0.18894722466692968</v>
      </c>
      <c r="M29" s="69">
        <f t="shared" si="19"/>
        <v>0.18143206164254838</v>
      </c>
      <c r="N29" s="69">
        <f t="shared" si="19"/>
        <v>0.1704587912441862</v>
      </c>
      <c r="O29" s="69">
        <f t="shared" si="19"/>
        <v>8.709067924477007E-2</v>
      </c>
      <c r="P29" s="69">
        <f t="shared" si="19"/>
        <v>4.9259907074225034E-2</v>
      </c>
      <c r="Q29" s="69">
        <f t="shared" si="19"/>
        <v>7.6130772108915584E-2</v>
      </c>
      <c r="R29" s="69">
        <f t="shared" si="19"/>
        <v>7.6028646897039989E-2</v>
      </c>
      <c r="S29" s="69">
        <f t="shared" si="19"/>
        <v>0.12697990150405963</v>
      </c>
      <c r="T29" s="69">
        <f t="shared" si="19"/>
        <v>0.13616419507720534</v>
      </c>
      <c r="U29" s="69">
        <f t="shared" si="19"/>
        <v>0.14632589389018777</v>
      </c>
      <c r="V29" s="69">
        <f t="shared" si="19"/>
        <v>0.14709800375329385</v>
      </c>
      <c r="W29" s="69">
        <f t="shared" si="19"/>
        <v>0.22515590241056127</v>
      </c>
    </row>
    <row r="30" spans="1:26" x14ac:dyDescent="0.25">
      <c r="A30" s="54" t="s">
        <v>86</v>
      </c>
      <c r="B30" s="69">
        <f t="shared" ref="B30:H30" si="20">B9/B$21</f>
        <v>1.381606102762448E-2</v>
      </c>
      <c r="C30" s="69">
        <f t="shared" si="20"/>
        <v>1.5335607144451714E-2</v>
      </c>
      <c r="D30" s="69">
        <f t="shared" si="20"/>
        <v>1.0719477890945356E-2</v>
      </c>
      <c r="E30" s="69">
        <f t="shared" si="20"/>
        <v>1.5985509867708761E-2</v>
      </c>
      <c r="F30" s="69">
        <f t="shared" si="20"/>
        <v>2.1878370085261292E-2</v>
      </c>
      <c r="G30" s="69">
        <f t="shared" si="20"/>
        <v>3.0676781046170991E-2</v>
      </c>
      <c r="H30" s="69">
        <f t="shared" si="20"/>
        <v>6.2118334426341203E-2</v>
      </c>
      <c r="I30" s="69">
        <f t="shared" ref="I30:P34" si="21">I9/I$21</f>
        <v>8.2470041504874081E-2</v>
      </c>
      <c r="J30" s="69">
        <f t="shared" si="21"/>
        <v>8.7206856662109575E-2</v>
      </c>
      <c r="K30" s="69">
        <f t="shared" si="21"/>
        <v>6.2471267869308282E-2</v>
      </c>
      <c r="L30" s="69">
        <f t="shared" si="21"/>
        <v>2.5990106521805105E-2</v>
      </c>
      <c r="M30" s="69">
        <f t="shared" si="21"/>
        <v>2.6743093403495583E-2</v>
      </c>
      <c r="N30" s="69">
        <f t="shared" si="21"/>
        <v>3.6306479250679619E-2</v>
      </c>
      <c r="O30" s="69">
        <f t="shared" si="21"/>
        <v>3.5097258281566457E-2</v>
      </c>
      <c r="P30" s="69">
        <f t="shared" si="21"/>
        <v>4.8003945107527292E-2</v>
      </c>
      <c r="Q30" s="209">
        <f t="shared" ref="Q30:W30" si="22">Q9/Q21</f>
        <v>0.17730902005633564</v>
      </c>
      <c r="R30" s="209">
        <f t="shared" si="22"/>
        <v>0.16271137978923286</v>
      </c>
      <c r="S30" s="209">
        <f t="shared" si="22"/>
        <v>0.16644833166371273</v>
      </c>
      <c r="T30" s="209">
        <f t="shared" si="22"/>
        <v>0.18106558630178873</v>
      </c>
      <c r="U30" s="209">
        <f t="shared" si="22"/>
        <v>0.24278065478802774</v>
      </c>
      <c r="V30" s="209">
        <f t="shared" si="22"/>
        <v>0.24798965413299887</v>
      </c>
      <c r="W30" s="209">
        <f t="shared" si="22"/>
        <v>0.28024749887555772</v>
      </c>
    </row>
    <row r="31" spans="1:26" x14ac:dyDescent="0.25">
      <c r="A31" s="54" t="s">
        <v>118</v>
      </c>
      <c r="B31" s="69">
        <f t="shared" ref="B31:H31" si="23">B10/B$21</f>
        <v>0</v>
      </c>
      <c r="C31" s="69">
        <f t="shared" si="23"/>
        <v>0</v>
      </c>
      <c r="D31" s="69">
        <f t="shared" si="23"/>
        <v>0</v>
      </c>
      <c r="E31" s="69">
        <f t="shared" si="23"/>
        <v>0</v>
      </c>
      <c r="F31" s="69">
        <f t="shared" si="23"/>
        <v>0</v>
      </c>
      <c r="G31" s="69">
        <f t="shared" si="23"/>
        <v>0</v>
      </c>
      <c r="H31" s="69">
        <f t="shared" si="23"/>
        <v>1.7289397255840493E-3</v>
      </c>
      <c r="I31" s="69">
        <f t="shared" si="21"/>
        <v>4.2651153682662047E-3</v>
      </c>
      <c r="J31" s="69">
        <f t="shared" si="21"/>
        <v>0</v>
      </c>
      <c r="K31" s="69">
        <f t="shared" si="21"/>
        <v>0</v>
      </c>
      <c r="L31" s="69">
        <f t="shared" si="21"/>
        <v>0</v>
      </c>
      <c r="M31" s="69">
        <f t="shared" si="21"/>
        <v>0</v>
      </c>
      <c r="N31" s="69">
        <f t="shared" si="21"/>
        <v>0</v>
      </c>
      <c r="O31" s="69">
        <f t="shared" si="21"/>
        <v>0</v>
      </c>
      <c r="P31" s="69">
        <f t="shared" si="21"/>
        <v>0</v>
      </c>
      <c r="Q31" s="209"/>
      <c r="R31" s="209"/>
      <c r="S31" s="209"/>
      <c r="T31" s="209"/>
      <c r="U31" s="209"/>
      <c r="V31" s="209"/>
      <c r="W31" s="209"/>
    </row>
    <row r="32" spans="1:26" x14ac:dyDescent="0.25">
      <c r="A32" s="54" t="s">
        <v>87</v>
      </c>
      <c r="B32" s="69">
        <f t="shared" ref="B32:H32" si="24">B11/B$21</f>
        <v>9.7226468744744929E-2</v>
      </c>
      <c r="C32" s="69">
        <f t="shared" si="24"/>
        <v>0.12687011905478307</v>
      </c>
      <c r="D32" s="69">
        <f t="shared" si="24"/>
        <v>0.12991923046982665</v>
      </c>
      <c r="E32" s="69">
        <f t="shared" si="24"/>
        <v>0.12931576922782981</v>
      </c>
      <c r="F32" s="69">
        <f t="shared" si="24"/>
        <v>9.8357334795069015E-2</v>
      </c>
      <c r="G32" s="69">
        <f t="shared" si="24"/>
        <v>0.10114135077562721</v>
      </c>
      <c r="H32" s="69">
        <f t="shared" si="24"/>
        <v>9.5960413242145243E-2</v>
      </c>
      <c r="I32" s="69">
        <f t="shared" si="21"/>
        <v>0.1267212104712642</v>
      </c>
      <c r="J32" s="69">
        <f t="shared" si="21"/>
        <v>0.12175833420969608</v>
      </c>
      <c r="K32" s="69">
        <f t="shared" si="21"/>
        <v>0.11966413177732116</v>
      </c>
      <c r="L32" s="69">
        <f t="shared" si="21"/>
        <v>0.1243482747109344</v>
      </c>
      <c r="M32" s="69">
        <f t="shared" si="21"/>
        <v>0.11755935601077491</v>
      </c>
      <c r="N32" s="69">
        <f t="shared" si="21"/>
        <v>0.11802182511563188</v>
      </c>
      <c r="O32" s="69">
        <f t="shared" si="21"/>
        <v>0.10807155382168633</v>
      </c>
      <c r="P32" s="69">
        <f t="shared" si="21"/>
        <v>0.11172667801912452</v>
      </c>
      <c r="Q32" s="209"/>
      <c r="R32" s="209"/>
      <c r="S32" s="209"/>
      <c r="T32" s="209"/>
      <c r="U32" s="209"/>
      <c r="V32" s="209"/>
      <c r="W32" s="209"/>
    </row>
    <row r="33" spans="1:23" x14ac:dyDescent="0.25">
      <c r="A33" s="54" t="s">
        <v>88</v>
      </c>
      <c r="B33" s="69">
        <f t="shared" ref="B33:H33" si="25">B12/B$21</f>
        <v>8.8015761392995273E-2</v>
      </c>
      <c r="C33" s="69">
        <f t="shared" si="25"/>
        <v>9.6717209463040216E-2</v>
      </c>
      <c r="D33" s="69">
        <f t="shared" si="25"/>
        <v>7.9624997107108519E-2</v>
      </c>
      <c r="E33" s="69">
        <f t="shared" si="25"/>
        <v>0.13194732806342235</v>
      </c>
      <c r="F33" s="69">
        <f t="shared" si="25"/>
        <v>0.1065706608197239</v>
      </c>
      <c r="G33" s="69">
        <f t="shared" si="25"/>
        <v>8.9999156727663343E-2</v>
      </c>
      <c r="H33" s="69">
        <f t="shared" si="25"/>
        <v>0.10012094061134626</v>
      </c>
      <c r="I33" s="69">
        <f t="shared" si="21"/>
        <v>8.4437821495608328E-2</v>
      </c>
      <c r="J33" s="69">
        <f t="shared" si="21"/>
        <v>8.6165737722157965E-2</v>
      </c>
      <c r="K33" s="69">
        <f t="shared" si="21"/>
        <v>5.9690828426947014E-2</v>
      </c>
      <c r="L33" s="69">
        <f t="shared" si="21"/>
        <v>5.7576401323176839E-2</v>
      </c>
      <c r="M33" s="69">
        <f t="shared" si="21"/>
        <v>7.6464323748668794E-2</v>
      </c>
      <c r="N33" s="69">
        <f t="shared" si="21"/>
        <v>6.9185874228583952E-2</v>
      </c>
      <c r="O33" s="69">
        <f t="shared" si="21"/>
        <v>4.9356369024154849E-2</v>
      </c>
      <c r="P33" s="69">
        <f t="shared" si="21"/>
        <v>9.9475269877717064E-3</v>
      </c>
      <c r="Q33" s="209"/>
      <c r="R33" s="209"/>
      <c r="S33" s="209"/>
      <c r="T33" s="209"/>
      <c r="U33" s="209"/>
      <c r="V33" s="209"/>
      <c r="W33" s="209"/>
    </row>
    <row r="34" spans="1:23" x14ac:dyDescent="0.25">
      <c r="A34" s="54" t="s">
        <v>89</v>
      </c>
      <c r="B34" s="69">
        <f t="shared" ref="B34:H34" si="26">B13/B$21</f>
        <v>3.470258205555471E-3</v>
      </c>
      <c r="C34" s="69">
        <f t="shared" si="26"/>
        <v>3.5271896432238939E-3</v>
      </c>
      <c r="D34" s="69">
        <f t="shared" si="26"/>
        <v>4.0963343383063015E-3</v>
      </c>
      <c r="E34" s="69">
        <f t="shared" si="26"/>
        <v>4.9676086441485384E-3</v>
      </c>
      <c r="F34" s="69">
        <f t="shared" si="26"/>
        <v>7.0991497703128629E-3</v>
      </c>
      <c r="G34" s="69">
        <f t="shared" si="26"/>
        <v>7.7361070882539483E-3</v>
      </c>
      <c r="H34" s="69">
        <f t="shared" si="26"/>
        <v>8.1720082103344596E-3</v>
      </c>
      <c r="I34" s="69">
        <f t="shared" si="21"/>
        <v>1.1190554656044476E-2</v>
      </c>
      <c r="J34" s="69">
        <f t="shared" si="21"/>
        <v>1.468082868861079E-2</v>
      </c>
      <c r="K34" s="69">
        <f t="shared" si="21"/>
        <v>1.7386054600741083E-2</v>
      </c>
      <c r="L34" s="69">
        <f t="shared" si="21"/>
        <v>2.2742860611210586E-2</v>
      </c>
      <c r="M34" s="69">
        <f t="shared" si="21"/>
        <v>2.3422915492075425E-2</v>
      </c>
      <c r="N34" s="69">
        <f t="shared" si="21"/>
        <v>3.2370485847172656E-2</v>
      </c>
      <c r="O34" s="69">
        <f t="shared" si="21"/>
        <v>4.1234520912909321E-2</v>
      </c>
      <c r="P34" s="69">
        <f t="shared" si="21"/>
        <v>2.9888812692150619E-2</v>
      </c>
      <c r="Q34" s="69">
        <f t="shared" ref="Q34:W34" si="27">Q13/Q$21</f>
        <v>4.3240075961341606E-2</v>
      </c>
      <c r="R34" s="69">
        <f t="shared" si="27"/>
        <v>6.7464531764834012E-3</v>
      </c>
      <c r="S34" s="69">
        <f t="shared" si="27"/>
        <v>8.5325786181145672E-3</v>
      </c>
      <c r="T34" s="69">
        <f t="shared" si="27"/>
        <v>0</v>
      </c>
      <c r="U34" s="69">
        <f t="shared" si="27"/>
        <v>0</v>
      </c>
      <c r="V34" s="69">
        <f t="shared" si="27"/>
        <v>0</v>
      </c>
      <c r="W34" s="69">
        <f t="shared" si="27"/>
        <v>0</v>
      </c>
    </row>
    <row r="35" spans="1:23" x14ac:dyDescent="0.25">
      <c r="A35" s="53" t="s">
        <v>90</v>
      </c>
      <c r="B35" s="147">
        <f t="shared" ref="B35:H35" si="28">SUM(B26:B34)</f>
        <v>0.84411928821488091</v>
      </c>
      <c r="C35" s="147">
        <f t="shared" si="28"/>
        <v>0.85167167823954992</v>
      </c>
      <c r="D35" s="147">
        <f t="shared" si="28"/>
        <v>0.7744722839956828</v>
      </c>
      <c r="E35" s="147">
        <f t="shared" si="28"/>
        <v>0.84348211533513529</v>
      </c>
      <c r="F35" s="147">
        <f t="shared" si="28"/>
        <v>0.83746432550629479</v>
      </c>
      <c r="G35" s="147">
        <f t="shared" si="28"/>
        <v>0.74067542447762935</v>
      </c>
      <c r="H35" s="147">
        <f t="shared" si="28"/>
        <v>0.69173771217837876</v>
      </c>
      <c r="I35" s="147">
        <f>SUM(I26:I34)</f>
        <v>0.73229117412464839</v>
      </c>
      <c r="J35" s="147">
        <f>SUM(J26:J34)</f>
        <v>0.71244084551477549</v>
      </c>
      <c r="K35" s="147">
        <f>SUM(K26:K34)</f>
        <v>0.74996538297507032</v>
      </c>
      <c r="L35" s="147">
        <f>SUM(L26:L34)</f>
        <v>0.71464295469029782</v>
      </c>
      <c r="M35" s="147">
        <f>SUM(M26:M34)</f>
        <v>0.73665977573137875</v>
      </c>
      <c r="N35" s="147">
        <f t="shared" ref="N35" si="29">SUM(N26:N34)</f>
        <v>0.76336369609750432</v>
      </c>
      <c r="O35" s="147">
        <f t="shared" ref="O35" si="30">SUM(O26:O34)</f>
        <v>0.78583468131091383</v>
      </c>
      <c r="P35" s="147">
        <f t="shared" ref="P35" si="31">SUM(P26:P34)</f>
        <v>0.76619073670259885</v>
      </c>
      <c r="Q35" s="147">
        <f t="shared" ref="Q35" si="32">SUM(Q26:Q34)</f>
        <v>0.64841758970992081</v>
      </c>
      <c r="R35" s="147">
        <f t="shared" ref="R35" si="33">SUM(R26:R34)</f>
        <v>0.67797429403915788</v>
      </c>
      <c r="S35" s="147">
        <f t="shared" ref="S35" si="34">SUM(S26:S34)</f>
        <v>0.71608510161334393</v>
      </c>
      <c r="T35" s="147">
        <f t="shared" ref="T35" si="35">SUM(T26:T34)</f>
        <v>0.69441216939305916</v>
      </c>
      <c r="U35" s="147">
        <f t="shared" ref="U35" si="36">SUM(U26:U34)</f>
        <v>0.72878880971569471</v>
      </c>
      <c r="V35" s="147">
        <f t="shared" ref="V35:W35" si="37">SUM(V26:V34)</f>
        <v>0.74992950419571591</v>
      </c>
      <c r="W35" s="147">
        <f t="shared" si="37"/>
        <v>0.72316837460340633</v>
      </c>
    </row>
    <row r="36" spans="1:23" x14ac:dyDescent="0.25">
      <c r="A36" s="54" t="s">
        <v>91</v>
      </c>
      <c r="B36" s="69"/>
      <c r="C36" s="69"/>
      <c r="D36" s="69"/>
      <c r="E36" s="69"/>
      <c r="F36" s="69"/>
      <c r="G36" s="69"/>
      <c r="H36" s="69"/>
      <c r="I36" s="69"/>
      <c r="J36" s="69"/>
      <c r="K36" s="69"/>
      <c r="L36" s="69"/>
      <c r="M36" s="69"/>
      <c r="N36" s="69"/>
      <c r="O36" s="69"/>
      <c r="P36" s="69"/>
      <c r="Q36" s="69"/>
      <c r="R36" s="69"/>
      <c r="S36" s="69"/>
      <c r="T36" s="69"/>
      <c r="U36" s="69"/>
      <c r="V36" s="69"/>
      <c r="W36" s="69"/>
    </row>
    <row r="37" spans="1:23" x14ac:dyDescent="0.25">
      <c r="A37" s="54" t="s">
        <v>92</v>
      </c>
      <c r="B37" s="69">
        <f>B17/B$21</f>
        <v>2.3970770336171714E-2</v>
      </c>
      <c r="C37" s="69">
        <f t="shared" ref="C37:H37" si="38">C17/C$21</f>
        <v>3.1834002729349831E-2</v>
      </c>
      <c r="D37" s="69">
        <f t="shared" si="38"/>
        <v>3.0462673284199767E-2</v>
      </c>
      <c r="E37" s="69">
        <f t="shared" si="38"/>
        <v>2.6465890361055986E-2</v>
      </c>
      <c r="F37" s="69">
        <f t="shared" si="38"/>
        <v>3.0800717362679267E-2</v>
      </c>
      <c r="G37" s="69">
        <f t="shared" si="38"/>
        <v>2.947053496463755E-2</v>
      </c>
      <c r="H37" s="69">
        <f t="shared" si="38"/>
        <v>3.6346060487339557E-2</v>
      </c>
      <c r="I37" s="69">
        <f t="shared" ref="I37:W37" si="39">I17/I$21</f>
        <v>3.737826749389845E-2</v>
      </c>
      <c r="J37" s="69">
        <f t="shared" si="39"/>
        <v>4.3511410242927755E-2</v>
      </c>
      <c r="K37" s="69">
        <f t="shared" si="39"/>
        <v>3.9391405008114243E-2</v>
      </c>
      <c r="L37" s="69">
        <f t="shared" si="39"/>
        <v>4.9309580892840883E-2</v>
      </c>
      <c r="M37" s="69">
        <f t="shared" si="39"/>
        <v>5.0510555659963666E-2</v>
      </c>
      <c r="N37" s="69">
        <f t="shared" si="39"/>
        <v>7.4571292371516551E-2</v>
      </c>
      <c r="O37" s="69">
        <f t="shared" si="39"/>
        <v>8.5350768687047177E-2</v>
      </c>
      <c r="P37" s="69">
        <f t="shared" si="39"/>
        <v>8.8610813601374627E-2</v>
      </c>
      <c r="Q37" s="69">
        <f t="shared" si="39"/>
        <v>0.16027419502862669</v>
      </c>
      <c r="R37" s="69">
        <f t="shared" si="39"/>
        <v>0.12124554094164418</v>
      </c>
      <c r="S37" s="69">
        <f t="shared" si="39"/>
        <v>8.5486910407924513E-2</v>
      </c>
      <c r="T37" s="69">
        <f t="shared" si="39"/>
        <v>5.8775416602965917E-2</v>
      </c>
      <c r="U37" s="69">
        <f t="shared" si="39"/>
        <v>6.2143421399104712E-2</v>
      </c>
      <c r="V37" s="69">
        <f t="shared" si="39"/>
        <v>6.3854613342667954E-2</v>
      </c>
      <c r="W37" s="69">
        <f t="shared" si="39"/>
        <v>8.678263617908416E-2</v>
      </c>
    </row>
    <row r="38" spans="1:23" x14ac:dyDescent="0.25">
      <c r="A38" s="54" t="s">
        <v>93</v>
      </c>
      <c r="B38" s="69">
        <f t="shared" ref="B38:H38" si="40">B18/B$21</f>
        <v>5.0932154158959235E-2</v>
      </c>
      <c r="C38" s="69">
        <f t="shared" si="40"/>
        <v>9.8196416126846833E-2</v>
      </c>
      <c r="D38" s="69">
        <f t="shared" si="40"/>
        <v>8.5271921279688967E-2</v>
      </c>
      <c r="E38" s="69">
        <f t="shared" si="40"/>
        <v>8.422771518024777E-2</v>
      </c>
      <c r="F38" s="69">
        <f t="shared" si="40"/>
        <v>7.823364335635169E-2</v>
      </c>
      <c r="G38" s="69">
        <f t="shared" si="40"/>
        <v>0.12465031696040652</v>
      </c>
      <c r="H38" s="69">
        <f t="shared" si="40"/>
        <v>0.11976527301065469</v>
      </c>
      <c r="I38" s="69">
        <f t="shared" ref="I38:W38" si="41">I18/I$21</f>
        <v>0.12659225401556076</v>
      </c>
      <c r="J38" s="69">
        <f t="shared" si="41"/>
        <v>0.13104953202229469</v>
      </c>
      <c r="K38" s="69">
        <f t="shared" si="41"/>
        <v>0.14015741053576081</v>
      </c>
      <c r="L38" s="69">
        <f t="shared" si="41"/>
        <v>0.11526205577979425</v>
      </c>
      <c r="M38" s="69">
        <f t="shared" si="41"/>
        <v>0.11561736515692539</v>
      </c>
      <c r="N38" s="69">
        <f t="shared" si="41"/>
        <v>9.1796900163623948E-2</v>
      </c>
      <c r="O38" s="69">
        <f t="shared" si="41"/>
        <v>5.5473242078649392E-2</v>
      </c>
      <c r="P38" s="69">
        <f t="shared" si="41"/>
        <v>5.6079087077461259E-2</v>
      </c>
      <c r="Q38" s="69">
        <f t="shared" si="41"/>
        <v>0.1643122886530981</v>
      </c>
      <c r="R38" s="69">
        <f t="shared" si="41"/>
        <v>0.16121368079949891</v>
      </c>
      <c r="S38" s="69">
        <f t="shared" si="41"/>
        <v>0.14423420457172481</v>
      </c>
      <c r="T38" s="69">
        <f t="shared" si="41"/>
        <v>0.14156092340620702</v>
      </c>
      <c r="U38" s="69">
        <f t="shared" si="41"/>
        <v>0.15736137819873447</v>
      </c>
      <c r="V38" s="69">
        <f t="shared" si="41"/>
        <v>0.131005513258073</v>
      </c>
      <c r="W38" s="69">
        <f t="shared" si="41"/>
        <v>0.16240594191799473</v>
      </c>
    </row>
    <row r="39" spans="1:23" x14ac:dyDescent="0.25">
      <c r="A39" s="53" t="s">
        <v>94</v>
      </c>
      <c r="B39" s="147">
        <f t="shared" ref="B39:H39" si="42">SUM(B37:B38)</f>
        <v>7.4902924495130946E-2</v>
      </c>
      <c r="C39" s="147">
        <f t="shared" si="42"/>
        <v>0.13003041885619665</v>
      </c>
      <c r="D39" s="147">
        <f t="shared" si="42"/>
        <v>0.11573459456388874</v>
      </c>
      <c r="E39" s="147">
        <f t="shared" si="42"/>
        <v>0.11069360554130375</v>
      </c>
      <c r="F39" s="147">
        <f t="shared" si="42"/>
        <v>0.10903436071903096</v>
      </c>
      <c r="G39" s="147">
        <f t="shared" si="42"/>
        <v>0.15412085192504407</v>
      </c>
      <c r="H39" s="147">
        <f t="shared" si="42"/>
        <v>0.15611133349799425</v>
      </c>
      <c r="I39" s="147">
        <f t="shared" ref="I39:N39" si="43">SUM(I37:I38)</f>
        <v>0.16397052150945921</v>
      </c>
      <c r="J39" s="147">
        <f t="shared" si="43"/>
        <v>0.17456094226522245</v>
      </c>
      <c r="K39" s="147">
        <f t="shared" si="43"/>
        <v>0.17954881554387506</v>
      </c>
      <c r="L39" s="147">
        <f t="shared" si="43"/>
        <v>0.16457163667263514</v>
      </c>
      <c r="M39" s="147">
        <f t="shared" si="43"/>
        <v>0.16612792081688904</v>
      </c>
      <c r="N39" s="147">
        <f t="shared" si="43"/>
        <v>0.16636819253514051</v>
      </c>
      <c r="O39" s="147">
        <f t="shared" ref="O39" si="44">SUM(O37:O38)</f>
        <v>0.14082401076569656</v>
      </c>
      <c r="P39" s="147">
        <f t="shared" ref="P39" si="45">SUM(P37:P38)</f>
        <v>0.14468990067883589</v>
      </c>
      <c r="Q39" s="147">
        <f t="shared" ref="Q39" si="46">SUM(Q37:Q38)</f>
        <v>0.32458648368172482</v>
      </c>
      <c r="R39" s="147">
        <f t="shared" ref="R39" si="47">SUM(R37:R38)</f>
        <v>0.28245922174114307</v>
      </c>
      <c r="S39" s="147">
        <f t="shared" ref="S39" si="48">SUM(S37:S38)</f>
        <v>0.22972111497964931</v>
      </c>
      <c r="T39" s="147">
        <f t="shared" ref="T39" si="49">SUM(T37:T38)</f>
        <v>0.20033634000917294</v>
      </c>
      <c r="U39" s="147">
        <f t="shared" ref="U39" si="50">SUM(U37:U38)</f>
        <v>0.2195047995978392</v>
      </c>
      <c r="V39" s="147">
        <f t="shared" ref="V39:W39" si="51">SUM(V37:V38)</f>
        <v>0.19486012660074095</v>
      </c>
      <c r="W39" s="147">
        <f t="shared" si="51"/>
        <v>0.24918857809707889</v>
      </c>
    </row>
    <row r="40" spans="1:23" s="53" customFormat="1" x14ac:dyDescent="0.25">
      <c r="A40" s="53" t="s">
        <v>83</v>
      </c>
      <c r="B40" s="71">
        <f>B20/B$21</f>
        <v>8.0977787289988251E-2</v>
      </c>
      <c r="C40" s="71">
        <f t="shared" ref="C40:H40" si="52">C20/C$21</f>
        <v>1.8297902904253399E-2</v>
      </c>
      <c r="D40" s="71">
        <f t="shared" si="52"/>
        <v>0.10979312144042853</v>
      </c>
      <c r="E40" s="71">
        <f t="shared" si="52"/>
        <v>4.5824279123560983E-2</v>
      </c>
      <c r="F40" s="71">
        <f t="shared" si="52"/>
        <v>5.3501313774674236E-2</v>
      </c>
      <c r="G40" s="71">
        <f t="shared" si="52"/>
        <v>0.10520372359732645</v>
      </c>
      <c r="H40" s="71">
        <f t="shared" si="52"/>
        <v>0.15215095432362685</v>
      </c>
      <c r="I40" s="71">
        <f t="shared" ref="I40:W40" si="53">I20/I$21</f>
        <v>0.10373830436589246</v>
      </c>
      <c r="J40" s="71">
        <f t="shared" si="53"/>
        <v>0.1129982122200021</v>
      </c>
      <c r="K40" s="71">
        <f t="shared" si="53"/>
        <v>7.0485801481054808E-2</v>
      </c>
      <c r="L40" s="71">
        <f t="shared" si="53"/>
        <v>0.12078540863706716</v>
      </c>
      <c r="M40" s="71">
        <f t="shared" si="53"/>
        <v>9.7212303451732124E-2</v>
      </c>
      <c r="N40" s="71">
        <f t="shared" si="53"/>
        <v>7.0268111367355085E-2</v>
      </c>
      <c r="O40" s="71">
        <f t="shared" si="53"/>
        <v>7.3266546141612404E-2</v>
      </c>
      <c r="P40" s="71">
        <f t="shared" si="53"/>
        <v>8.8888203974387611E-2</v>
      </c>
      <c r="Q40" s="71">
        <f t="shared" si="53"/>
        <v>2.6995926608354332E-2</v>
      </c>
      <c r="R40" s="71">
        <f t="shared" si="53"/>
        <v>3.9566484219698821E-2</v>
      </c>
      <c r="S40" s="71">
        <f t="shared" si="53"/>
        <v>5.4193783407006799E-2</v>
      </c>
      <c r="T40" s="71">
        <f t="shared" si="53"/>
        <v>0.10525149059776795</v>
      </c>
      <c r="U40" s="71">
        <f t="shared" si="53"/>
        <v>5.1706390686466173E-2</v>
      </c>
      <c r="V40" s="71">
        <f t="shared" si="53"/>
        <v>5.5210369203543268E-2</v>
      </c>
      <c r="W40" s="71">
        <f t="shared" si="53"/>
        <v>2.7643047299514972E-2</v>
      </c>
    </row>
    <row r="41" spans="1:23" ht="20" thickBot="1" x14ac:dyDescent="0.3">
      <c r="A41" s="53" t="s">
        <v>84</v>
      </c>
      <c r="B41" s="148">
        <f>B35+B39+B40</f>
        <v>1</v>
      </c>
      <c r="C41" s="148">
        <f t="shared" ref="C41:H41" si="54">C35+C39+C40</f>
        <v>1</v>
      </c>
      <c r="D41" s="148">
        <f t="shared" si="54"/>
        <v>1.0000000000000002</v>
      </c>
      <c r="E41" s="148">
        <f t="shared" si="54"/>
        <v>1</v>
      </c>
      <c r="F41" s="148">
        <f t="shared" si="54"/>
        <v>1</v>
      </c>
      <c r="G41" s="148">
        <f t="shared" si="54"/>
        <v>0.99999999999999989</v>
      </c>
      <c r="H41" s="148">
        <f t="shared" si="54"/>
        <v>0.99999999999999978</v>
      </c>
      <c r="I41" s="148">
        <f>I35+I39+I40</f>
        <v>1</v>
      </c>
      <c r="J41" s="148">
        <f>J35+J39+J40</f>
        <v>1</v>
      </c>
      <c r="K41" s="148">
        <f>K35+K39+K40</f>
        <v>1.0000000000000002</v>
      </c>
      <c r="L41" s="148">
        <f>L35+L39+L40</f>
        <v>1.0000000000000002</v>
      </c>
      <c r="M41" s="148">
        <f>M35+M39+M40</f>
        <v>0.99999999999999989</v>
      </c>
      <c r="N41" s="148">
        <f t="shared" ref="N41" si="55">N35+N39+N40</f>
        <v>1</v>
      </c>
      <c r="O41" s="148">
        <f t="shared" ref="O41" si="56">O35+O39+O40</f>
        <v>0.99992523821822288</v>
      </c>
      <c r="P41" s="148">
        <f t="shared" ref="P41" si="57">P35+P39+P40</f>
        <v>0.99976884135582234</v>
      </c>
      <c r="Q41" s="148">
        <f t="shared" ref="Q41" si="58">Q35+Q39+Q40</f>
        <v>1</v>
      </c>
      <c r="R41" s="148">
        <f t="shared" ref="R41" si="59">R35+R39+R40</f>
        <v>0.99999999999999978</v>
      </c>
      <c r="S41" s="148">
        <f t="shared" ref="S41" si="60">S35+S39+S40</f>
        <v>1</v>
      </c>
      <c r="T41" s="148">
        <f t="shared" ref="T41" si="61">T35+T39+T40</f>
        <v>1</v>
      </c>
      <c r="U41" s="148">
        <f t="shared" ref="U41" si="62">U35+U39+U40</f>
        <v>1</v>
      </c>
      <c r="V41" s="148">
        <f t="shared" ref="V41:W41" si="63">V35+V39+V40</f>
        <v>1</v>
      </c>
      <c r="W41" s="148">
        <f t="shared" si="63"/>
        <v>1.0000000000000002</v>
      </c>
    </row>
    <row r="42" spans="1:23" ht="20" thickTop="1" x14ac:dyDescent="0.25">
      <c r="L42" s="69"/>
      <c r="M42" s="69"/>
      <c r="N42" s="69"/>
      <c r="O42" s="69"/>
      <c r="P42" s="69"/>
      <c r="Q42" s="69"/>
      <c r="R42" s="69"/>
      <c r="S42" s="69"/>
      <c r="T42" s="69"/>
      <c r="U42" s="69"/>
      <c r="V42" s="69"/>
      <c r="W42" s="57"/>
    </row>
    <row r="43" spans="1:23" x14ac:dyDescent="0.25">
      <c r="L43" s="69"/>
      <c r="M43" s="69"/>
      <c r="N43" s="69"/>
      <c r="O43" s="69"/>
      <c r="P43" s="69"/>
      <c r="Q43" s="69"/>
      <c r="R43" s="69"/>
      <c r="S43" s="69"/>
      <c r="T43" s="69"/>
      <c r="U43" s="69"/>
      <c r="V43" s="69"/>
      <c r="W43" s="57"/>
    </row>
    <row r="44" spans="1:23" x14ac:dyDescent="0.25">
      <c r="A44" s="152" t="s">
        <v>98</v>
      </c>
      <c r="B44" s="150">
        <v>44834</v>
      </c>
      <c r="C44" s="146">
        <v>44561</v>
      </c>
      <c r="D44" s="146">
        <v>44196</v>
      </c>
      <c r="E44" s="146">
        <v>43830</v>
      </c>
      <c r="F44" s="146">
        <v>43465</v>
      </c>
      <c r="G44" s="146">
        <v>43100</v>
      </c>
      <c r="H44" s="146">
        <v>42735</v>
      </c>
      <c r="I44" s="146">
        <v>42369</v>
      </c>
      <c r="J44" s="146">
        <v>42004</v>
      </c>
      <c r="K44" s="146">
        <v>41639</v>
      </c>
      <c r="L44" s="146">
        <v>41274</v>
      </c>
      <c r="M44" s="146">
        <v>40908</v>
      </c>
      <c r="N44" s="146">
        <v>40543</v>
      </c>
      <c r="O44" s="146">
        <v>40178</v>
      </c>
      <c r="P44" s="146">
        <v>39813</v>
      </c>
      <c r="Q44" s="146">
        <v>39447</v>
      </c>
      <c r="R44" s="146">
        <v>39082</v>
      </c>
      <c r="S44" s="146">
        <v>38717</v>
      </c>
      <c r="T44" s="146">
        <v>38352</v>
      </c>
      <c r="U44" s="146">
        <v>37986</v>
      </c>
      <c r="V44" s="146">
        <v>37621</v>
      </c>
      <c r="W44" s="146">
        <v>37256</v>
      </c>
    </row>
    <row r="45" spans="1:23" x14ac:dyDescent="0.25">
      <c r="A45" s="54" t="s">
        <v>99</v>
      </c>
      <c r="B45" s="69">
        <v>0.193</v>
      </c>
      <c r="C45" s="69">
        <v>0.22</v>
      </c>
      <c r="D45" s="69">
        <v>0.19500000000000001</v>
      </c>
      <c r="E45" s="69">
        <v>0.23899999999999999</v>
      </c>
      <c r="F45" s="69">
        <v>0.19400000000000001</v>
      </c>
      <c r="G45" s="69">
        <v>0.19800000000000001</v>
      </c>
      <c r="H45" s="69">
        <v>0.25900000000000001</v>
      </c>
      <c r="I45" s="69">
        <v>0.28399999999999997</v>
      </c>
      <c r="J45" s="69">
        <v>0.36099999999999999</v>
      </c>
      <c r="K45" s="69">
        <v>0.26900000000000002</v>
      </c>
      <c r="L45" s="69">
        <v>0.29799999999999999</v>
      </c>
      <c r="M45" s="69">
        <v>0.22600000000000001</v>
      </c>
      <c r="N45" s="69">
        <v>0.34599999999999997</v>
      </c>
      <c r="O45" s="69">
        <v>0.18099999999999999</v>
      </c>
      <c r="P45" s="69">
        <v>0.19600000000000001</v>
      </c>
      <c r="Q45" s="69">
        <v>0.125</v>
      </c>
      <c r="R45" s="207" t="s">
        <v>111</v>
      </c>
      <c r="S45" s="207"/>
      <c r="T45" s="207"/>
      <c r="U45" s="207"/>
      <c r="V45" s="207"/>
      <c r="W45" s="207"/>
    </row>
    <row r="46" spans="1:23" x14ac:dyDescent="0.25">
      <c r="A46" s="54" t="s">
        <v>100</v>
      </c>
      <c r="B46" s="69">
        <v>0.191</v>
      </c>
      <c r="C46" s="69">
        <v>0.188</v>
      </c>
      <c r="D46" s="69">
        <v>0.187</v>
      </c>
      <c r="E46" s="69">
        <v>0.11799999999999999</v>
      </c>
      <c r="F46" s="69">
        <v>0.17</v>
      </c>
      <c r="G46" s="69">
        <v>0.157</v>
      </c>
      <c r="H46" s="69">
        <v>0.13400000000000001</v>
      </c>
      <c r="I46" s="69">
        <v>0.156</v>
      </c>
      <c r="J46" s="69">
        <v>0.19400000000000001</v>
      </c>
      <c r="K46" s="69">
        <v>0.249</v>
      </c>
      <c r="L46" s="69">
        <v>0.17699999999999999</v>
      </c>
      <c r="M46" s="69">
        <v>0.223</v>
      </c>
      <c r="N46" s="69">
        <v>0.155</v>
      </c>
      <c r="O46" s="69">
        <v>0.218</v>
      </c>
      <c r="P46" s="69">
        <v>0.19900000000000001</v>
      </c>
      <c r="Q46" s="69">
        <v>0.182</v>
      </c>
      <c r="R46" s="208"/>
      <c r="S46" s="208"/>
      <c r="T46" s="208"/>
      <c r="U46" s="208"/>
      <c r="V46" s="208"/>
      <c r="W46" s="208"/>
    </row>
    <row r="47" spans="1:23" x14ac:dyDescent="0.25">
      <c r="A47" s="54" t="s">
        <v>101</v>
      </c>
      <c r="B47" s="69">
        <v>0.23100000000000001</v>
      </c>
      <c r="C47" s="69">
        <v>0.23499999999999999</v>
      </c>
      <c r="D47" s="69">
        <v>0.249</v>
      </c>
      <c r="E47" s="69">
        <v>0.20599999999999999</v>
      </c>
      <c r="F47" s="69">
        <v>0.27</v>
      </c>
      <c r="G47" s="69">
        <v>0.27</v>
      </c>
      <c r="H47" s="69">
        <v>0.24199999999999999</v>
      </c>
      <c r="I47" s="69">
        <v>0.18099999999999999</v>
      </c>
      <c r="J47" s="69">
        <v>0.15</v>
      </c>
      <c r="K47" s="69">
        <v>0.23400000000000001</v>
      </c>
      <c r="L47" s="69">
        <v>0.28399999999999997</v>
      </c>
      <c r="M47" s="69">
        <v>0.315</v>
      </c>
      <c r="N47" s="69">
        <v>0.23400000000000001</v>
      </c>
      <c r="O47" s="69">
        <v>0.20699999999999999</v>
      </c>
      <c r="P47" s="69">
        <v>0.17599999999999999</v>
      </c>
      <c r="Q47" s="69">
        <v>0.246</v>
      </c>
      <c r="R47" s="208"/>
      <c r="S47" s="208"/>
      <c r="T47" s="208"/>
      <c r="U47" s="208"/>
      <c r="V47" s="208"/>
      <c r="W47" s="208"/>
    </row>
    <row r="48" spans="1:23" x14ac:dyDescent="0.25">
      <c r="A48" s="54" t="s">
        <v>102</v>
      </c>
      <c r="B48" s="69">
        <v>0.20399999999999999</v>
      </c>
      <c r="C48" s="69">
        <v>0.17599999999999999</v>
      </c>
      <c r="D48" s="69">
        <v>0.185</v>
      </c>
      <c r="E48" s="69">
        <v>0.23100000000000001</v>
      </c>
      <c r="F48" s="69">
        <v>0.22800000000000001</v>
      </c>
      <c r="G48" s="69">
        <v>0.24099999999999999</v>
      </c>
      <c r="H48" s="69">
        <v>0.214</v>
      </c>
      <c r="I48" s="69">
        <v>0.27700000000000002</v>
      </c>
      <c r="J48" s="69">
        <v>0.23799999999999999</v>
      </c>
      <c r="K48" s="69">
        <v>0.222</v>
      </c>
      <c r="L48" s="69">
        <v>0.17799999999999999</v>
      </c>
      <c r="M48" s="69">
        <v>0.20799999999999999</v>
      </c>
      <c r="N48" s="69">
        <v>0.22600000000000001</v>
      </c>
      <c r="O48" s="69">
        <v>0.27500000000000002</v>
      </c>
      <c r="P48" s="69">
        <v>0.32100000000000001</v>
      </c>
      <c r="Q48" s="69">
        <v>0.27400000000000002</v>
      </c>
      <c r="R48" s="208"/>
      <c r="S48" s="208"/>
      <c r="T48" s="208"/>
      <c r="U48" s="208"/>
      <c r="V48" s="208"/>
      <c r="W48" s="208"/>
    </row>
    <row r="49" spans="1:23" x14ac:dyDescent="0.25">
      <c r="A49" s="54" t="s">
        <v>119</v>
      </c>
      <c r="B49" s="69">
        <v>0.18099999999999999</v>
      </c>
      <c r="C49" s="69">
        <v>0.18099999999999999</v>
      </c>
      <c r="D49" s="69">
        <v>0.184</v>
      </c>
      <c r="E49" s="69">
        <v>0.20599999999999999</v>
      </c>
      <c r="F49" s="69">
        <v>0.13800000000000001</v>
      </c>
      <c r="G49" s="69">
        <v>0.13400000000000001</v>
      </c>
      <c r="H49" s="69">
        <v>0.151</v>
      </c>
      <c r="I49" s="69">
        <f>0.104+0.001-0.003</f>
        <v>0.10199999999999999</v>
      </c>
      <c r="J49" s="69">
        <v>5.7000000000000002E-2</v>
      </c>
      <c r="K49" s="69">
        <v>2.5999999999999999E-2</v>
      </c>
      <c r="L49" s="69">
        <v>6.3E-2</v>
      </c>
      <c r="M49" s="69">
        <v>2.8000000000000001E-2</v>
      </c>
      <c r="N49" s="69">
        <v>3.9E-2</v>
      </c>
      <c r="O49" s="69">
        <v>0.11899999999999999</v>
      </c>
      <c r="P49" s="69">
        <v>0.108</v>
      </c>
      <c r="Q49" s="69">
        <v>0.17299999999999999</v>
      </c>
      <c r="R49" s="208"/>
      <c r="S49" s="208"/>
      <c r="T49" s="208"/>
      <c r="U49" s="208"/>
      <c r="V49" s="208"/>
      <c r="W49" s="208"/>
    </row>
    <row r="50" spans="1:23" x14ac:dyDescent="0.25">
      <c r="A50" s="53" t="s">
        <v>62</v>
      </c>
      <c r="B50" s="147">
        <f t="shared" ref="B50:H50" si="64">SUM(B45:B49)</f>
        <v>1</v>
      </c>
      <c r="C50" s="147">
        <f t="shared" si="64"/>
        <v>1</v>
      </c>
      <c r="D50" s="147">
        <f t="shared" si="64"/>
        <v>1</v>
      </c>
      <c r="E50" s="147">
        <f t="shared" si="64"/>
        <v>0.99999999999999989</v>
      </c>
      <c r="F50" s="147">
        <f t="shared" si="64"/>
        <v>1</v>
      </c>
      <c r="G50" s="147">
        <f t="shared" si="64"/>
        <v>1</v>
      </c>
      <c r="H50" s="147">
        <f t="shared" si="64"/>
        <v>1</v>
      </c>
      <c r="I50" s="147">
        <f>SUM(I45:I49)</f>
        <v>1</v>
      </c>
      <c r="J50" s="147">
        <f>SUM(J45:J49)</f>
        <v>1</v>
      </c>
      <c r="K50" s="147">
        <f>SUM(K45:K49)</f>
        <v>1</v>
      </c>
      <c r="L50" s="147">
        <f>SUM(L45:L49)</f>
        <v>0.99999999999999978</v>
      </c>
      <c r="M50" s="147">
        <f>SUM(M45:M49)</f>
        <v>1</v>
      </c>
      <c r="N50" s="147">
        <f t="shared" ref="N50:Q50" si="65">SUM(N45:N49)</f>
        <v>1</v>
      </c>
      <c r="O50" s="147">
        <f t="shared" si="65"/>
        <v>1</v>
      </c>
      <c r="P50" s="147">
        <f t="shared" si="65"/>
        <v>0.99999999999999989</v>
      </c>
      <c r="Q50" s="147">
        <f t="shared" si="65"/>
        <v>1</v>
      </c>
      <c r="R50" s="147"/>
      <c r="S50" s="147"/>
      <c r="T50" s="147"/>
      <c r="U50" s="147"/>
      <c r="V50" s="147"/>
      <c r="W50" s="147"/>
    </row>
    <row r="52" spans="1:23" x14ac:dyDescent="0.25">
      <c r="A52" s="53" t="s">
        <v>97</v>
      </c>
      <c r="B52" s="179">
        <v>2.7</v>
      </c>
      <c r="C52" s="179">
        <v>3</v>
      </c>
      <c r="D52" s="53">
        <v>2.9</v>
      </c>
      <c r="E52" s="179">
        <v>3</v>
      </c>
      <c r="F52" s="53">
        <v>2.8</v>
      </c>
      <c r="G52" s="53">
        <v>2.5</v>
      </c>
      <c r="H52" s="53">
        <v>2.2000000000000002</v>
      </c>
      <c r="I52" s="53">
        <v>1.9</v>
      </c>
      <c r="J52" s="53">
        <v>1.6</v>
      </c>
      <c r="K52" s="180">
        <v>2</v>
      </c>
      <c r="L52" s="180">
        <v>1.9</v>
      </c>
      <c r="M52" s="180">
        <v>1.9</v>
      </c>
      <c r="N52" s="180">
        <v>2</v>
      </c>
      <c r="O52" s="180">
        <v>2.2999999999999998</v>
      </c>
      <c r="P52" s="180">
        <v>3.2</v>
      </c>
      <c r="Q52" s="180">
        <v>3.5</v>
      </c>
      <c r="R52" s="180">
        <v>3.1</v>
      </c>
      <c r="S52" s="180">
        <v>3.2</v>
      </c>
      <c r="T52" s="180">
        <v>2.9</v>
      </c>
      <c r="U52" s="180">
        <v>3.3</v>
      </c>
      <c r="V52" s="180">
        <v>3.2</v>
      </c>
      <c r="W52" s="180">
        <v>3.7</v>
      </c>
    </row>
    <row r="54" spans="1:23" x14ac:dyDescent="0.25">
      <c r="A54" s="152" t="s">
        <v>103</v>
      </c>
      <c r="B54" s="150">
        <v>44834</v>
      </c>
      <c r="C54" s="146">
        <v>44561</v>
      </c>
      <c r="D54" s="146">
        <v>44196</v>
      </c>
      <c r="E54" s="146">
        <v>43830</v>
      </c>
      <c r="F54" s="146">
        <v>43465</v>
      </c>
      <c r="G54" s="146">
        <v>43100</v>
      </c>
      <c r="H54" s="146">
        <v>42735</v>
      </c>
      <c r="I54" s="146">
        <v>42369</v>
      </c>
      <c r="J54" s="146">
        <v>42004</v>
      </c>
      <c r="K54" s="146">
        <v>41639</v>
      </c>
      <c r="L54" s="146">
        <v>41274</v>
      </c>
      <c r="M54" s="146">
        <v>40908</v>
      </c>
      <c r="N54" s="146">
        <v>40543</v>
      </c>
      <c r="O54" s="146">
        <v>40178</v>
      </c>
      <c r="P54" s="146">
        <v>39813</v>
      </c>
      <c r="Q54" s="146">
        <v>39447</v>
      </c>
      <c r="R54" s="146">
        <v>39082</v>
      </c>
      <c r="S54" s="146">
        <v>38717</v>
      </c>
      <c r="T54" s="146">
        <v>38352</v>
      </c>
      <c r="U54" s="146">
        <v>37986</v>
      </c>
      <c r="V54" s="146">
        <v>37621</v>
      </c>
      <c r="W54" s="146">
        <v>37256</v>
      </c>
    </row>
    <row r="55" spans="1:23" x14ac:dyDescent="0.25">
      <c r="A55" s="54" t="s">
        <v>104</v>
      </c>
      <c r="B55" s="69">
        <v>0.63200000000000001</v>
      </c>
      <c r="C55" s="69">
        <v>0.54700000000000004</v>
      </c>
      <c r="D55" s="69">
        <v>0.53300000000000003</v>
      </c>
      <c r="E55" s="69">
        <v>0.60799999999999998</v>
      </c>
      <c r="F55" s="69">
        <v>0.505</v>
      </c>
      <c r="G55" s="69">
        <v>0.45800000000000002</v>
      </c>
      <c r="H55" s="69">
        <v>0.35699999999999998</v>
      </c>
      <c r="I55" s="69">
        <v>0.372</v>
      </c>
      <c r="J55" s="69">
        <v>0.45500000000000002</v>
      </c>
      <c r="K55" s="69">
        <v>0.50800000000000001</v>
      </c>
      <c r="L55" s="69">
        <v>0.54100000000000004</v>
      </c>
      <c r="M55" s="69">
        <v>0.53600000000000003</v>
      </c>
      <c r="N55" s="69">
        <v>0.54800000000000004</v>
      </c>
      <c r="O55" s="69">
        <v>0.60099999999999998</v>
      </c>
      <c r="P55" s="69">
        <v>0.59</v>
      </c>
      <c r="Q55" s="69">
        <v>0.49399999999999999</v>
      </c>
      <c r="R55" s="69">
        <v>0.61099999999999999</v>
      </c>
      <c r="S55" s="69">
        <v>0.61799999999999999</v>
      </c>
      <c r="T55" s="69">
        <v>0.61</v>
      </c>
      <c r="U55" s="69">
        <v>0.63900000000000001</v>
      </c>
      <c r="V55" s="69">
        <v>0.65700000000000003</v>
      </c>
      <c r="W55" s="118">
        <v>0.57999999999999996</v>
      </c>
    </row>
    <row r="56" spans="1:23" x14ac:dyDescent="0.25">
      <c r="A56" s="54" t="s">
        <v>105</v>
      </c>
      <c r="B56" s="69">
        <v>6.7000000000000004E-2</v>
      </c>
      <c r="C56" s="69">
        <v>8.6999999999999994E-2</v>
      </c>
      <c r="D56" s="69">
        <v>9.8000000000000004E-2</v>
      </c>
      <c r="E56" s="69">
        <v>9.9000000000000005E-2</v>
      </c>
      <c r="F56" s="69">
        <v>0.108</v>
      </c>
      <c r="G56" s="69">
        <v>0.13600000000000001</v>
      </c>
      <c r="H56" s="69">
        <v>0.191</v>
      </c>
      <c r="I56" s="69">
        <v>0.14199999999999999</v>
      </c>
      <c r="J56" s="69">
        <v>0.13200000000000001</v>
      </c>
      <c r="K56" s="69">
        <v>0.127</v>
      </c>
      <c r="L56" s="69">
        <v>0.122</v>
      </c>
      <c r="M56" s="69">
        <v>0.13400000000000001</v>
      </c>
      <c r="N56" s="69">
        <v>0.11600000000000001</v>
      </c>
      <c r="O56" s="69">
        <v>0.11600000000000001</v>
      </c>
      <c r="P56" s="69">
        <v>0.16300000000000001</v>
      </c>
      <c r="Q56" s="69">
        <v>0.20599999999999999</v>
      </c>
      <c r="R56" s="69">
        <v>0.15</v>
      </c>
      <c r="S56" s="69">
        <v>0.13200000000000001</v>
      </c>
      <c r="T56" s="69">
        <v>0.14599999999999999</v>
      </c>
      <c r="U56" s="69">
        <v>0.107</v>
      </c>
      <c r="V56" s="69">
        <v>8.2000000000000003E-2</v>
      </c>
      <c r="W56" s="118">
        <v>0.106</v>
      </c>
    </row>
    <row r="57" spans="1:23" x14ac:dyDescent="0.25">
      <c r="A57" s="54" t="s">
        <v>106</v>
      </c>
      <c r="B57" s="69">
        <v>7.0999999999999994E-2</v>
      </c>
      <c r="C57" s="69">
        <v>8.5999999999999993E-2</v>
      </c>
      <c r="D57" s="69">
        <v>0.111</v>
      </c>
      <c r="E57" s="69">
        <v>7.9000000000000001E-2</v>
      </c>
      <c r="F57" s="69">
        <v>8.4000000000000005E-2</v>
      </c>
      <c r="G57" s="69">
        <v>0.122</v>
      </c>
      <c r="H57" s="69">
        <v>0.153</v>
      </c>
      <c r="I57" s="69">
        <v>0.153</v>
      </c>
      <c r="J57" s="69">
        <v>0.10199999999999999</v>
      </c>
      <c r="K57" s="69">
        <v>8.2000000000000003E-2</v>
      </c>
      <c r="L57" s="69">
        <v>0.04</v>
      </c>
      <c r="M57" s="69">
        <v>5.0999999999999997E-2</v>
      </c>
      <c r="N57" s="69">
        <v>6.8000000000000005E-2</v>
      </c>
      <c r="O57" s="69">
        <v>0.121</v>
      </c>
      <c r="P57" s="69">
        <v>0.13600000000000001</v>
      </c>
      <c r="Q57" s="69">
        <v>0.16200000000000001</v>
      </c>
      <c r="R57" s="69">
        <v>0.14399999999999999</v>
      </c>
      <c r="S57" s="69">
        <v>0.129</v>
      </c>
      <c r="T57" s="69">
        <v>0.14199999999999999</v>
      </c>
      <c r="U57" s="69">
        <v>0.13100000000000001</v>
      </c>
      <c r="V57" s="69">
        <v>0.126</v>
      </c>
      <c r="W57" s="118">
        <v>0.153</v>
      </c>
    </row>
    <row r="58" spans="1:23" x14ac:dyDescent="0.25">
      <c r="A58" s="54" t="s">
        <v>107</v>
      </c>
      <c r="B58" s="69">
        <v>0.191</v>
      </c>
      <c r="C58" s="69">
        <v>0.217</v>
      </c>
      <c r="D58" s="69">
        <v>0.22900000000000001</v>
      </c>
      <c r="E58" s="69">
        <v>0.19500000000000001</v>
      </c>
      <c r="F58" s="69">
        <v>0.25900000000000001</v>
      </c>
      <c r="G58" s="69">
        <v>0.23200000000000001</v>
      </c>
      <c r="H58" s="69">
        <v>0.24299999999999999</v>
      </c>
      <c r="I58" s="69">
        <v>0.247</v>
      </c>
      <c r="J58" s="69">
        <v>0.184</v>
      </c>
      <c r="K58" s="69">
        <v>0.182</v>
      </c>
      <c r="L58" s="69">
        <v>0.21299999999999999</v>
      </c>
      <c r="M58" s="69">
        <v>0.21299999999999999</v>
      </c>
      <c r="N58" s="69">
        <v>0.182</v>
      </c>
      <c r="O58" s="69">
        <v>9.9000000000000005E-2</v>
      </c>
      <c r="P58" s="69">
        <v>0.09</v>
      </c>
      <c r="Q58" s="69">
        <v>0.106</v>
      </c>
      <c r="R58" s="69">
        <v>8.3000000000000004E-2</v>
      </c>
      <c r="S58" s="69">
        <v>9.9000000000000005E-2</v>
      </c>
      <c r="T58" s="69">
        <v>9.5000000000000001E-2</v>
      </c>
      <c r="U58" s="69">
        <v>9.5000000000000001E-2</v>
      </c>
      <c r="V58" s="69">
        <v>0.113</v>
      </c>
      <c r="W58" s="118">
        <v>0.14000000000000001</v>
      </c>
    </row>
    <row r="59" spans="1:23" x14ac:dyDescent="0.25">
      <c r="A59" s="54" t="s">
        <v>108</v>
      </c>
      <c r="B59" s="69">
        <v>3.9E-2</v>
      </c>
      <c r="C59" s="69">
        <v>6.3E-2</v>
      </c>
      <c r="D59" s="69">
        <v>2.9000000000000001E-2</v>
      </c>
      <c r="E59" s="69">
        <v>1.9E-2</v>
      </c>
      <c r="F59" s="69">
        <v>4.3999999999999997E-2</v>
      </c>
      <c r="G59" s="69">
        <v>5.1999999999999998E-2</v>
      </c>
      <c r="H59" s="69">
        <v>5.6000000000000001E-2</v>
      </c>
      <c r="I59" s="69">
        <v>8.5999999999999993E-2</v>
      </c>
      <c r="J59" s="69">
        <v>0.127</v>
      </c>
      <c r="K59" s="69">
        <v>0.10100000000000001</v>
      </c>
      <c r="L59" s="69">
        <v>8.4000000000000005E-2</v>
      </c>
      <c r="M59" s="69">
        <v>6.6000000000000003E-2</v>
      </c>
      <c r="N59" s="69">
        <v>8.5999999999999993E-2</v>
      </c>
      <c r="O59" s="69">
        <v>6.3E-2</v>
      </c>
      <c r="P59" s="69">
        <v>2.1000000000000001E-2</v>
      </c>
      <c r="Q59" s="69">
        <v>3.2000000000000001E-2</v>
      </c>
      <c r="R59" s="69">
        <v>1.2E-2</v>
      </c>
      <c r="S59" s="69">
        <v>2.1999999999999999E-2</v>
      </c>
      <c r="T59" s="69">
        <v>7.0000000000000001E-3</v>
      </c>
      <c r="U59" s="69">
        <v>2.8000000000000001E-2</v>
      </c>
      <c r="V59" s="69">
        <v>2.1999999999999999E-2</v>
      </c>
      <c r="W59" s="118">
        <v>2.1000000000000001E-2</v>
      </c>
    </row>
    <row r="60" spans="1:23" x14ac:dyDescent="0.25">
      <c r="A60" s="53" t="s">
        <v>109</v>
      </c>
      <c r="B60" s="147">
        <f t="shared" ref="B60:M60" si="66">SUM(B55:B59)</f>
        <v>1</v>
      </c>
      <c r="C60" s="147">
        <f t="shared" si="66"/>
        <v>1</v>
      </c>
      <c r="D60" s="147">
        <f t="shared" si="66"/>
        <v>1</v>
      </c>
      <c r="E60" s="147">
        <f t="shared" si="66"/>
        <v>0.99999999999999989</v>
      </c>
      <c r="F60" s="147">
        <f t="shared" si="66"/>
        <v>1</v>
      </c>
      <c r="G60" s="147">
        <f t="shared" si="66"/>
        <v>1</v>
      </c>
      <c r="H60" s="147">
        <f t="shared" si="66"/>
        <v>1</v>
      </c>
      <c r="I60" s="147">
        <f t="shared" si="66"/>
        <v>1</v>
      </c>
      <c r="J60" s="147">
        <f t="shared" si="66"/>
        <v>1</v>
      </c>
      <c r="K60" s="147">
        <f t="shared" si="66"/>
        <v>1</v>
      </c>
      <c r="L60" s="147">
        <f t="shared" si="66"/>
        <v>1</v>
      </c>
      <c r="M60" s="147">
        <f t="shared" si="66"/>
        <v>1</v>
      </c>
      <c r="N60" s="147">
        <f t="shared" ref="N60:W60" si="67">SUM(N55:N59)</f>
        <v>0.99999999999999989</v>
      </c>
      <c r="O60" s="147">
        <f t="shared" si="67"/>
        <v>1</v>
      </c>
      <c r="P60" s="147">
        <f t="shared" si="67"/>
        <v>1</v>
      </c>
      <c r="Q60" s="147">
        <f t="shared" si="67"/>
        <v>1</v>
      </c>
      <c r="R60" s="147">
        <f t="shared" si="67"/>
        <v>1</v>
      </c>
      <c r="S60" s="147">
        <f t="shared" si="67"/>
        <v>1</v>
      </c>
      <c r="T60" s="147">
        <f t="shared" si="67"/>
        <v>1</v>
      </c>
      <c r="U60" s="147">
        <f t="shared" si="67"/>
        <v>1</v>
      </c>
      <c r="V60" s="147">
        <f t="shared" si="67"/>
        <v>1</v>
      </c>
      <c r="W60" s="147">
        <f t="shared" si="67"/>
        <v>1</v>
      </c>
    </row>
    <row r="63" spans="1:23" x14ac:dyDescent="0.25">
      <c r="A63" s="151" t="s">
        <v>355</v>
      </c>
      <c r="B63" s="150">
        <v>44834</v>
      </c>
      <c r="C63" s="146">
        <v>44561</v>
      </c>
      <c r="D63" s="146">
        <v>44196</v>
      </c>
      <c r="E63" s="146">
        <v>43830</v>
      </c>
      <c r="F63" s="146">
        <v>43465</v>
      </c>
      <c r="G63" s="146">
        <v>43100</v>
      </c>
      <c r="H63" s="146">
        <v>42735</v>
      </c>
      <c r="I63" s="146">
        <v>42369</v>
      </c>
      <c r="J63" s="146">
        <v>42004</v>
      </c>
      <c r="K63" s="146">
        <v>41639</v>
      </c>
      <c r="L63" s="146">
        <v>41274</v>
      </c>
      <c r="M63" s="146">
        <v>40908</v>
      </c>
    </row>
    <row r="64" spans="1:23" x14ac:dyDescent="0.25">
      <c r="A64" s="54" t="s">
        <v>350</v>
      </c>
      <c r="B64" s="69">
        <v>2.1999999999999999E-2</v>
      </c>
      <c r="C64" s="69">
        <v>1.9E-2</v>
      </c>
      <c r="D64" s="69">
        <v>2.4E-2</v>
      </c>
      <c r="E64" s="69">
        <v>3.1E-2</v>
      </c>
      <c r="F64" s="69">
        <v>2.8000000000000001E-2</v>
      </c>
      <c r="G64" s="69">
        <v>2.4E-2</v>
      </c>
      <c r="H64" s="69">
        <v>2.3E-2</v>
      </c>
      <c r="I64" s="69">
        <v>2.4E-2</v>
      </c>
      <c r="J64" s="69">
        <v>2.4E-2</v>
      </c>
      <c r="K64" s="69">
        <v>2.5999999999999999E-2</v>
      </c>
      <c r="L64" s="69">
        <v>2.9000000000000001E-2</v>
      </c>
      <c r="M64" s="69">
        <v>3.2000000000000001E-2</v>
      </c>
      <c r="N64" s="69"/>
      <c r="O64" s="69"/>
      <c r="P64" s="69"/>
      <c r="Q64" s="69"/>
      <c r="R64" s="69"/>
      <c r="S64" s="69"/>
      <c r="T64" s="69"/>
      <c r="U64" s="69"/>
      <c r="V64" s="69"/>
      <c r="W64" s="69"/>
    </row>
    <row r="65" spans="1:23" x14ac:dyDescent="0.25">
      <c r="A65" s="54" t="s">
        <v>351</v>
      </c>
      <c r="B65" s="69"/>
      <c r="C65" s="69"/>
      <c r="D65" s="69"/>
      <c r="E65" s="69"/>
      <c r="F65" s="69"/>
      <c r="G65" s="69"/>
      <c r="H65" s="69"/>
      <c r="I65" s="69"/>
      <c r="J65" s="69"/>
      <c r="K65" s="69"/>
      <c r="L65" s="69"/>
      <c r="M65" s="69"/>
      <c r="N65" s="69"/>
      <c r="O65" s="69"/>
      <c r="P65" s="69"/>
      <c r="Q65" s="69"/>
      <c r="R65" s="69"/>
      <c r="S65" s="69"/>
      <c r="T65" s="69"/>
      <c r="U65" s="69"/>
      <c r="V65" s="69"/>
      <c r="W65" s="69"/>
    </row>
    <row r="66" spans="1:23" x14ac:dyDescent="0.25">
      <c r="A66" s="54" t="s">
        <v>352</v>
      </c>
      <c r="B66" s="69">
        <v>-7.5999999999999998E-2</v>
      </c>
      <c r="C66" s="69">
        <v>-1E-3</v>
      </c>
      <c r="D66" s="69">
        <v>6.7000000000000004E-2</v>
      </c>
      <c r="E66" s="69">
        <v>0.06</v>
      </c>
      <c r="F66" s="69">
        <v>1.4999999999999999E-2</v>
      </c>
      <c r="G66" s="69">
        <v>0.03</v>
      </c>
      <c r="H66" s="69">
        <v>2.9000000000000001E-2</v>
      </c>
      <c r="I66" s="69">
        <v>1.7000000000000001E-2</v>
      </c>
      <c r="J66" s="69">
        <v>3.2000000000000001E-2</v>
      </c>
      <c r="K66" s="69">
        <v>1.7000000000000001E-2</v>
      </c>
      <c r="L66" s="69">
        <v>5.5E-2</v>
      </c>
      <c r="M66" s="69">
        <v>3.4000000000000002E-2</v>
      </c>
      <c r="N66" s="69"/>
      <c r="O66" s="69"/>
      <c r="P66" s="69"/>
      <c r="Q66" s="69"/>
      <c r="R66" s="69"/>
      <c r="S66" s="69"/>
      <c r="T66" s="69"/>
      <c r="U66" s="69"/>
      <c r="V66" s="69"/>
      <c r="W66" s="69"/>
    </row>
    <row r="67" spans="1:23" x14ac:dyDescent="0.25">
      <c r="A67" s="54" t="s">
        <v>353</v>
      </c>
      <c r="B67" s="69">
        <v>-0.24</v>
      </c>
      <c r="C67" s="69">
        <v>0.33400000000000002</v>
      </c>
      <c r="D67" s="69">
        <v>0.24299999999999999</v>
      </c>
      <c r="E67" s="69">
        <v>0.30499999999999999</v>
      </c>
      <c r="F67" s="69">
        <v>-4.3999999999999997E-2</v>
      </c>
      <c r="G67" s="69">
        <v>0.218</v>
      </c>
      <c r="H67" s="69">
        <v>0.128</v>
      </c>
      <c r="I67" s="69">
        <v>8.0000000000000002E-3</v>
      </c>
      <c r="J67" s="69">
        <v>0.126</v>
      </c>
      <c r="K67" s="69">
        <v>0.32800000000000001</v>
      </c>
      <c r="L67" s="69">
        <v>0.16700000000000001</v>
      </c>
      <c r="M67" s="69">
        <v>2.5000000000000001E-2</v>
      </c>
      <c r="N67" s="69"/>
      <c r="O67" s="69"/>
      <c r="P67" s="69"/>
      <c r="Q67" s="69"/>
      <c r="R67" s="69"/>
      <c r="S67" s="69"/>
      <c r="T67" s="69"/>
      <c r="U67" s="69"/>
      <c r="V67" s="69"/>
      <c r="W67" s="69"/>
    </row>
    <row r="68" spans="1:23" x14ac:dyDescent="0.25">
      <c r="A68" s="54" t="s">
        <v>354</v>
      </c>
      <c r="B68" s="69">
        <v>-0.09</v>
      </c>
      <c r="C68" s="69">
        <v>2.5999999999999999E-2</v>
      </c>
      <c r="D68" s="69">
        <v>7.9000000000000001E-2</v>
      </c>
      <c r="E68" s="69">
        <v>7.9000000000000001E-2</v>
      </c>
      <c r="F68" s="69">
        <v>1.2E-2</v>
      </c>
      <c r="G68" s="69">
        <v>5.1999999999999998E-2</v>
      </c>
      <c r="H68" s="69">
        <v>0.04</v>
      </c>
      <c r="I68" s="69">
        <v>1.6E-2</v>
      </c>
      <c r="J68" s="69">
        <v>4.4999999999999998E-2</v>
      </c>
      <c r="K68" s="69">
        <v>5.3999999999999999E-2</v>
      </c>
      <c r="L68" s="69">
        <v>6.8000000000000005E-2</v>
      </c>
      <c r="M68" s="69">
        <v>3.2000000000000001E-2</v>
      </c>
    </row>
    <row r="69" spans="1:23" x14ac:dyDescent="0.25">
      <c r="B69" s="69"/>
      <c r="C69" s="69"/>
      <c r="D69" s="69"/>
      <c r="E69" s="69"/>
      <c r="F69" s="69"/>
      <c r="G69" s="69"/>
      <c r="H69" s="69"/>
      <c r="I69" s="69"/>
      <c r="J69" s="69"/>
      <c r="K69" s="69"/>
      <c r="L69" s="69"/>
      <c r="M69" s="69"/>
    </row>
    <row r="70" spans="1:23" x14ac:dyDescent="0.25">
      <c r="B70" s="69"/>
      <c r="C70" s="69"/>
      <c r="D70" s="69"/>
      <c r="E70" s="69"/>
      <c r="F70" s="69"/>
      <c r="G70" s="69"/>
      <c r="H70" s="69"/>
      <c r="I70" s="69"/>
      <c r="J70" s="69"/>
      <c r="K70" s="69"/>
      <c r="L70" s="69"/>
      <c r="M70" s="69"/>
    </row>
    <row r="71" spans="1:23" x14ac:dyDescent="0.25">
      <c r="B71" s="69"/>
      <c r="C71" s="69"/>
      <c r="D71" s="69"/>
      <c r="E71" s="69"/>
      <c r="F71" s="69"/>
      <c r="G71" s="69"/>
      <c r="H71" s="69"/>
      <c r="I71" s="69"/>
      <c r="J71" s="69"/>
      <c r="K71" s="69"/>
      <c r="L71" s="69"/>
      <c r="M71" s="69"/>
    </row>
    <row r="72" spans="1:23" x14ac:dyDescent="0.25">
      <c r="B72" s="178"/>
      <c r="C72" s="178"/>
      <c r="D72" s="178"/>
      <c r="E72" s="178"/>
      <c r="F72" s="178"/>
      <c r="G72" s="178"/>
      <c r="H72" s="178"/>
      <c r="I72" s="178"/>
      <c r="J72" s="178"/>
      <c r="K72" s="178"/>
      <c r="L72" s="178"/>
      <c r="M72" s="178"/>
    </row>
    <row r="73" spans="1:23" x14ac:dyDescent="0.25">
      <c r="B73" s="178"/>
      <c r="C73" s="178"/>
      <c r="D73" s="178"/>
      <c r="E73" s="178"/>
      <c r="F73" s="178"/>
      <c r="G73" s="178"/>
      <c r="H73" s="178"/>
      <c r="I73" s="178"/>
      <c r="J73" s="178"/>
      <c r="K73" s="178"/>
      <c r="L73" s="178"/>
      <c r="M73" s="178"/>
    </row>
    <row r="74" spans="1:23" x14ac:dyDescent="0.25">
      <c r="B74" s="178"/>
      <c r="C74" s="178"/>
      <c r="D74" s="178"/>
      <c r="E74" s="178"/>
      <c r="F74" s="178"/>
      <c r="G74" s="178"/>
      <c r="H74" s="178"/>
      <c r="I74" s="178"/>
      <c r="J74" s="178"/>
      <c r="K74" s="178"/>
      <c r="L74" s="178"/>
      <c r="M74" s="178"/>
    </row>
  </sheetData>
  <mergeCells count="15">
    <mergeCell ref="R45:W49"/>
    <mergeCell ref="W30:W33"/>
    <mergeCell ref="W9:W12"/>
    <mergeCell ref="Q30:Q33"/>
    <mergeCell ref="R30:R33"/>
    <mergeCell ref="S30:S33"/>
    <mergeCell ref="T30:T33"/>
    <mergeCell ref="U30:U33"/>
    <mergeCell ref="V30:V33"/>
    <mergeCell ref="Q9:Q12"/>
    <mergeCell ref="R9:R12"/>
    <mergeCell ref="S9:S12"/>
    <mergeCell ref="T9:T12"/>
    <mergeCell ref="U9:U12"/>
    <mergeCell ref="V9:V12"/>
  </mergeCells>
  <pageMargins left="0.7" right="0.7" top="0.75" bottom="0.75" header="0.3" footer="0.3"/>
  <pageSetup orientation="portrait" horizontalDpi="0" verticalDpi="0"/>
  <ignoredErrors>
    <ignoredError sqref="J39:M39 N39:W39 I39 B39:H39" formula="1"/>
    <ignoredError sqref="K50:Q50 K60:W60 I50:J50 I60:J60 B50:H50 F60:H60 B60:E6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AA009-8E22-AB4E-8AC4-492699A3654B}">
  <sheetPr>
    <tabColor theme="3" tint="0.79998168889431442"/>
    <pageSetUpPr fitToPage="1"/>
  </sheetPr>
  <dimension ref="A1:P36"/>
  <sheetViews>
    <sheetView zoomScaleNormal="100" workbookViewId="0">
      <selection sqref="A1:B1"/>
    </sheetView>
  </sheetViews>
  <sheetFormatPr baseColWidth="10" defaultColWidth="8.83203125" defaultRowHeight="18" x14ac:dyDescent="0.2"/>
  <cols>
    <col min="1" max="1" width="22.5" style="120" bestFit="1" customWidth="1"/>
    <col min="2" max="11" width="10.83203125" style="120" customWidth="1"/>
    <col min="12" max="13" width="8.83203125" style="120"/>
    <col min="14" max="14" width="10" style="120" bestFit="1" customWidth="1"/>
    <col min="15" max="16384" width="8.83203125" style="120"/>
  </cols>
  <sheetData>
    <row r="1" spans="1:16" s="121" customFormat="1" ht="24" x14ac:dyDescent="0.3">
      <c r="A1" s="230" t="s">
        <v>245</v>
      </c>
      <c r="B1" s="230"/>
      <c r="C1" s="145"/>
      <c r="D1" s="145"/>
      <c r="E1" s="120"/>
      <c r="F1" s="120"/>
      <c r="G1" s="120"/>
      <c r="H1" s="120"/>
      <c r="I1" s="120"/>
      <c r="J1" s="120"/>
      <c r="K1" s="120"/>
      <c r="L1" s="120"/>
      <c r="M1" s="120"/>
    </row>
    <row r="2" spans="1:16" s="121" customFormat="1" ht="19" x14ac:dyDescent="0.25">
      <c r="A2" s="122" t="s">
        <v>241</v>
      </c>
    </row>
    <row r="3" spans="1:16" s="121" customFormat="1" ht="20" thickBot="1" x14ac:dyDescent="0.3">
      <c r="A3" s="229" t="s">
        <v>63</v>
      </c>
      <c r="B3" s="229"/>
      <c r="C3" s="229"/>
      <c r="D3" s="229"/>
      <c r="E3" s="229"/>
      <c r="F3" s="229"/>
      <c r="G3" s="229"/>
      <c r="H3" s="229"/>
      <c r="I3" s="229"/>
      <c r="J3" s="229"/>
      <c r="K3" s="229"/>
    </row>
    <row r="4" spans="1:16" ht="19" x14ac:dyDescent="0.25">
      <c r="A4" s="123"/>
      <c r="B4" s="213" t="s">
        <v>64</v>
      </c>
      <c r="C4" s="213"/>
      <c r="D4" s="213"/>
      <c r="E4" s="213"/>
      <c r="F4" s="214"/>
      <c r="G4" s="215" t="s">
        <v>65</v>
      </c>
      <c r="H4" s="215"/>
      <c r="I4" s="215"/>
      <c r="J4" s="215"/>
      <c r="K4" s="216"/>
    </row>
    <row r="5" spans="1:16" ht="40" customHeight="1" x14ac:dyDescent="0.25">
      <c r="A5" s="139" t="s">
        <v>66</v>
      </c>
      <c r="B5" s="140" t="s">
        <v>67</v>
      </c>
      <c r="C5" s="141" t="s">
        <v>68</v>
      </c>
      <c r="D5" s="141" t="s">
        <v>69</v>
      </c>
      <c r="E5" s="141" t="s">
        <v>70</v>
      </c>
      <c r="F5" s="140" t="s">
        <v>71</v>
      </c>
      <c r="G5" s="142" t="s">
        <v>67</v>
      </c>
      <c r="H5" s="143" t="s">
        <v>68</v>
      </c>
      <c r="I5" s="143" t="s">
        <v>69</v>
      </c>
      <c r="J5" s="143" t="s">
        <v>70</v>
      </c>
      <c r="K5" s="144" t="s">
        <v>72</v>
      </c>
    </row>
    <row r="6" spans="1:16" ht="19" x14ac:dyDescent="0.25">
      <c r="A6" s="124">
        <v>2001</v>
      </c>
      <c r="B6" s="125">
        <v>6060</v>
      </c>
      <c r="C6" s="126">
        <v>0.79900000000000004</v>
      </c>
      <c r="D6" s="126">
        <v>0.16500000000000001</v>
      </c>
      <c r="E6" s="126">
        <v>0.96399999999999997</v>
      </c>
      <c r="F6" s="127">
        <v>221</v>
      </c>
      <c r="G6" s="128">
        <v>7161.8</v>
      </c>
      <c r="H6" s="129">
        <v>0.73499999999999999</v>
      </c>
      <c r="I6" s="129">
        <v>0.217</v>
      </c>
      <c r="J6" s="129">
        <v>0.95199999999999996</v>
      </c>
      <c r="K6" s="130">
        <v>345.9</v>
      </c>
      <c r="L6" s="131"/>
      <c r="M6" s="132"/>
      <c r="N6" s="133"/>
      <c r="O6" s="131"/>
      <c r="P6" s="134"/>
    </row>
    <row r="7" spans="1:16" ht="19" x14ac:dyDescent="0.25">
      <c r="A7" s="124">
        <v>2002</v>
      </c>
      <c r="B7" s="125">
        <v>6670</v>
      </c>
      <c r="C7" s="126">
        <v>0.77</v>
      </c>
      <c r="D7" s="126">
        <v>0.16700000000000001</v>
      </c>
      <c r="E7" s="126">
        <v>0.93799999999999994</v>
      </c>
      <c r="F7" s="127">
        <v>416</v>
      </c>
      <c r="G7" s="128">
        <v>8883.5</v>
      </c>
      <c r="H7" s="129">
        <v>0.70899999999999996</v>
      </c>
      <c r="I7" s="129">
        <v>0.215</v>
      </c>
      <c r="J7" s="129">
        <v>0.92400000000000004</v>
      </c>
      <c r="K7" s="130">
        <v>678.6</v>
      </c>
      <c r="L7" s="131"/>
      <c r="M7" s="132"/>
      <c r="N7" s="133"/>
      <c r="O7" s="131"/>
      <c r="P7" s="134"/>
    </row>
    <row r="8" spans="1:16" ht="19" x14ac:dyDescent="0.25">
      <c r="A8" s="124">
        <v>2003</v>
      </c>
      <c r="B8" s="125">
        <v>7784</v>
      </c>
      <c r="C8" s="126">
        <v>0.76500000000000001</v>
      </c>
      <c r="D8" s="126">
        <v>0.17699999999999999</v>
      </c>
      <c r="E8" s="126">
        <v>0.94199999999999995</v>
      </c>
      <c r="F8" s="127">
        <v>452</v>
      </c>
      <c r="G8" s="128">
        <v>11341</v>
      </c>
      <c r="H8" s="129">
        <v>0.67400000000000004</v>
      </c>
      <c r="I8" s="129">
        <v>0.19900000000000001</v>
      </c>
      <c r="J8" s="129">
        <v>0.873</v>
      </c>
      <c r="K8" s="130">
        <v>1441.4</v>
      </c>
      <c r="L8" s="131"/>
      <c r="M8" s="132"/>
      <c r="N8" s="133"/>
      <c r="O8" s="131"/>
      <c r="P8" s="134"/>
    </row>
    <row r="9" spans="1:16" ht="19" x14ac:dyDescent="0.25">
      <c r="A9" s="124">
        <v>2004</v>
      </c>
      <c r="B9" s="125">
        <v>8915</v>
      </c>
      <c r="C9" s="126">
        <v>0.71299999999999997</v>
      </c>
      <c r="D9" s="126">
        <v>0.17799999999999999</v>
      </c>
      <c r="E9" s="126">
        <v>0.89100000000000001</v>
      </c>
      <c r="F9" s="127">
        <v>970</v>
      </c>
      <c r="G9" s="128">
        <v>13169.9</v>
      </c>
      <c r="H9" s="129">
        <v>0.65</v>
      </c>
      <c r="I9" s="129">
        <v>0.20200000000000001</v>
      </c>
      <c r="J9" s="129">
        <v>0.85099999999999998</v>
      </c>
      <c r="K9" s="130">
        <v>1958.3</v>
      </c>
      <c r="L9" s="131"/>
      <c r="M9" s="132"/>
      <c r="N9" s="133"/>
      <c r="O9" s="131"/>
      <c r="P9" s="134"/>
    </row>
    <row r="10" spans="1:16" ht="19" x14ac:dyDescent="0.25">
      <c r="A10" s="124">
        <v>2005</v>
      </c>
      <c r="B10" s="125">
        <v>10101</v>
      </c>
      <c r="C10" s="126">
        <v>0.70599999999999996</v>
      </c>
      <c r="D10" s="126">
        <v>0.17299999999999999</v>
      </c>
      <c r="E10" s="126">
        <v>0.879</v>
      </c>
      <c r="F10" s="127">
        <v>1221</v>
      </c>
      <c r="G10" s="128">
        <v>13764.4</v>
      </c>
      <c r="H10" s="129">
        <v>0.68</v>
      </c>
      <c r="I10" s="129">
        <v>0.20100000000000001</v>
      </c>
      <c r="J10" s="129">
        <v>0.88100000000000001</v>
      </c>
      <c r="K10" s="130">
        <v>1639.2</v>
      </c>
      <c r="L10" s="131"/>
      <c r="M10" s="132"/>
      <c r="N10" s="133"/>
      <c r="O10" s="131"/>
      <c r="P10" s="134"/>
    </row>
    <row r="11" spans="1:16" ht="19" x14ac:dyDescent="0.25">
      <c r="A11" s="124">
        <v>2006</v>
      </c>
      <c r="B11" s="125">
        <v>11055</v>
      </c>
      <c r="C11" s="126">
        <v>0.70099999999999996</v>
      </c>
      <c r="D11" s="126">
        <v>0.18</v>
      </c>
      <c r="E11" s="126">
        <v>0.88100000000000001</v>
      </c>
      <c r="F11" s="127">
        <v>1314</v>
      </c>
      <c r="G11" s="128">
        <v>14117.9</v>
      </c>
      <c r="H11" s="129">
        <v>0.66500000000000004</v>
      </c>
      <c r="I11" s="129">
        <v>0.20100000000000001</v>
      </c>
      <c r="J11" s="129">
        <v>0.86699999999999999</v>
      </c>
      <c r="K11" s="130">
        <v>1878.3</v>
      </c>
      <c r="L11" s="131"/>
      <c r="M11" s="132"/>
      <c r="N11" s="133"/>
      <c r="O11" s="131"/>
      <c r="P11" s="134"/>
    </row>
    <row r="12" spans="1:16" ht="19" x14ac:dyDescent="0.25">
      <c r="A12" s="124">
        <v>2007</v>
      </c>
      <c r="B12" s="125">
        <v>11806</v>
      </c>
      <c r="C12" s="126">
        <v>0.72199999999999998</v>
      </c>
      <c r="D12" s="126">
        <v>0.184</v>
      </c>
      <c r="E12" s="126">
        <v>0.90600000000000003</v>
      </c>
      <c r="F12" s="127">
        <v>1113</v>
      </c>
      <c r="G12" s="128">
        <v>13877.4</v>
      </c>
      <c r="H12" s="129">
        <v>0.71499999999999997</v>
      </c>
      <c r="I12" s="129">
        <v>0.21099999999999999</v>
      </c>
      <c r="J12" s="129">
        <v>0.92600000000000005</v>
      </c>
      <c r="K12" s="130">
        <v>1025.0999999999999</v>
      </c>
      <c r="L12" s="131"/>
      <c r="M12" s="132"/>
      <c r="N12" s="133"/>
      <c r="O12" s="131"/>
      <c r="P12" s="134"/>
    </row>
    <row r="13" spans="1:16" ht="19" x14ac:dyDescent="0.25">
      <c r="A13" s="124">
        <v>2008</v>
      </c>
      <c r="B13" s="125">
        <v>12479</v>
      </c>
      <c r="C13" s="126">
        <v>0.748</v>
      </c>
      <c r="D13" s="126">
        <v>0.17899999999999999</v>
      </c>
      <c r="E13" s="126">
        <v>0.92700000000000005</v>
      </c>
      <c r="F13" s="127">
        <v>916</v>
      </c>
      <c r="G13" s="128">
        <v>13631.4</v>
      </c>
      <c r="H13" s="129">
        <v>0.73499999999999999</v>
      </c>
      <c r="I13" s="129">
        <v>0.21099999999999999</v>
      </c>
      <c r="J13" s="129">
        <v>0.94599999999999995</v>
      </c>
      <c r="K13" s="130">
        <v>734.9</v>
      </c>
      <c r="L13" s="131"/>
      <c r="M13" s="132"/>
      <c r="N13" s="133"/>
      <c r="O13" s="131"/>
      <c r="P13" s="134"/>
    </row>
    <row r="14" spans="1:16" ht="19" x14ac:dyDescent="0.25">
      <c r="A14" s="124">
        <v>2009</v>
      </c>
      <c r="B14" s="125">
        <v>13576</v>
      </c>
      <c r="C14" s="126">
        <v>0.77</v>
      </c>
      <c r="D14" s="126">
        <v>0.182</v>
      </c>
      <c r="E14" s="126">
        <v>0.95199999999999996</v>
      </c>
      <c r="F14" s="127">
        <v>649</v>
      </c>
      <c r="G14" s="128">
        <v>14012.8</v>
      </c>
      <c r="H14" s="129">
        <v>0.70699999999999996</v>
      </c>
      <c r="I14" s="129">
        <v>0.20899999999999999</v>
      </c>
      <c r="J14" s="129">
        <v>0.91600000000000004</v>
      </c>
      <c r="K14" s="130">
        <v>1175.5999999999999</v>
      </c>
      <c r="L14" s="131"/>
      <c r="M14" s="132"/>
      <c r="N14" s="133"/>
      <c r="O14" s="131"/>
      <c r="P14" s="134"/>
    </row>
    <row r="15" spans="1:16" ht="19" x14ac:dyDescent="0.25">
      <c r="A15" s="124">
        <v>2010</v>
      </c>
      <c r="B15" s="125">
        <v>14283</v>
      </c>
      <c r="C15" s="126">
        <v>0.74399999999999999</v>
      </c>
      <c r="D15" s="126">
        <v>0.17799999999999999</v>
      </c>
      <c r="E15" s="126">
        <v>0.92200000000000004</v>
      </c>
      <c r="F15" s="127">
        <v>1117</v>
      </c>
      <c r="G15" s="128">
        <v>14314.8</v>
      </c>
      <c r="H15" s="129">
        <v>0.70799999999999996</v>
      </c>
      <c r="I15" s="129">
        <v>0.217</v>
      </c>
      <c r="J15" s="129">
        <v>0.92400000000000004</v>
      </c>
      <c r="K15" s="130">
        <v>1083.5</v>
      </c>
      <c r="L15" s="131"/>
      <c r="M15" s="132"/>
      <c r="N15" s="133"/>
      <c r="O15" s="131"/>
      <c r="P15" s="134"/>
    </row>
    <row r="16" spans="1:16" ht="19" x14ac:dyDescent="0.25">
      <c r="A16" s="124">
        <v>2011</v>
      </c>
      <c r="B16" s="125">
        <v>15363</v>
      </c>
      <c r="C16" s="126">
        <v>0.78200000000000003</v>
      </c>
      <c r="D16" s="126">
        <v>0.18099999999999999</v>
      </c>
      <c r="E16" s="126">
        <v>0.96299999999999997</v>
      </c>
      <c r="F16" s="127">
        <v>576</v>
      </c>
      <c r="G16" s="128">
        <v>14902.8</v>
      </c>
      <c r="H16" s="129">
        <v>0.71399999999999997</v>
      </c>
      <c r="I16" s="129">
        <v>0.216</v>
      </c>
      <c r="J16" s="129">
        <v>0.93</v>
      </c>
      <c r="K16" s="130">
        <v>1047.3</v>
      </c>
      <c r="L16" s="131"/>
      <c r="M16" s="132"/>
      <c r="N16" s="133"/>
      <c r="O16" s="131"/>
      <c r="P16" s="134"/>
    </row>
    <row r="17" spans="1:16" ht="19" x14ac:dyDescent="0.25">
      <c r="A17" s="124">
        <v>2012</v>
      </c>
      <c r="B17" s="125">
        <v>16740</v>
      </c>
      <c r="C17" s="126">
        <v>0.75900000000000001</v>
      </c>
      <c r="D17" s="126">
        <v>0.2</v>
      </c>
      <c r="E17" s="126">
        <v>0.95899999999999996</v>
      </c>
      <c r="F17" s="127">
        <v>680</v>
      </c>
      <c r="G17" s="128">
        <v>16018</v>
      </c>
      <c r="H17" s="129">
        <v>0.746</v>
      </c>
      <c r="I17" s="129">
        <v>0.21</v>
      </c>
      <c r="J17" s="129">
        <v>0.95599999999999996</v>
      </c>
      <c r="K17" s="130">
        <v>708.9</v>
      </c>
      <c r="L17" s="131"/>
      <c r="M17" s="132"/>
      <c r="N17" s="133"/>
      <c r="O17" s="131"/>
      <c r="P17" s="134"/>
    </row>
    <row r="18" spans="1:16" ht="19" x14ac:dyDescent="0.25">
      <c r="A18" s="135">
        <v>2013</v>
      </c>
      <c r="B18" s="125">
        <v>18572</v>
      </c>
      <c r="C18" s="126">
        <v>0.76700000000000002</v>
      </c>
      <c r="D18" s="126">
        <v>0.17199999999999999</v>
      </c>
      <c r="E18" s="126">
        <v>0.93899999999999995</v>
      </c>
      <c r="F18" s="127">
        <v>1127</v>
      </c>
      <c r="G18" s="128">
        <v>17103.400000000001</v>
      </c>
      <c r="H18" s="129">
        <v>0.72899999999999998</v>
      </c>
      <c r="I18" s="129">
        <v>0.20499999999999999</v>
      </c>
      <c r="J18" s="129">
        <v>0.93500000000000005</v>
      </c>
      <c r="K18" s="130">
        <v>1120.0999999999999</v>
      </c>
      <c r="L18" s="131"/>
      <c r="M18" s="132"/>
      <c r="N18" s="133"/>
      <c r="O18" s="131"/>
      <c r="P18" s="134"/>
    </row>
    <row r="19" spans="1:16" ht="19" x14ac:dyDescent="0.25">
      <c r="A19" s="124">
        <v>2014</v>
      </c>
      <c r="B19" s="125">
        <v>20496</v>
      </c>
      <c r="C19" s="126">
        <v>0.77700000000000002</v>
      </c>
      <c r="D19" s="126">
        <v>0.16600000000000001</v>
      </c>
      <c r="E19" s="126">
        <v>0.94299999999999995</v>
      </c>
      <c r="F19" s="127">
        <v>1159</v>
      </c>
      <c r="G19" s="128">
        <v>18398.5</v>
      </c>
      <c r="H19" s="129">
        <v>0.72299999999999998</v>
      </c>
      <c r="I19" s="129">
        <v>0.2</v>
      </c>
      <c r="J19" s="129">
        <v>0.92300000000000004</v>
      </c>
      <c r="K19" s="130">
        <v>1410.3</v>
      </c>
      <c r="L19" s="131"/>
      <c r="M19" s="132"/>
      <c r="N19" s="133"/>
      <c r="O19" s="131"/>
      <c r="P19" s="134"/>
    </row>
    <row r="20" spans="1:16" ht="19" x14ac:dyDescent="0.25">
      <c r="A20" s="124">
        <v>2015</v>
      </c>
      <c r="B20" s="125">
        <v>22718</v>
      </c>
      <c r="C20" s="126">
        <v>0.82099999999999995</v>
      </c>
      <c r="D20" s="126">
        <v>0.159</v>
      </c>
      <c r="E20" s="126">
        <v>0.98</v>
      </c>
      <c r="F20" s="127">
        <v>460</v>
      </c>
      <c r="G20" s="128">
        <v>19899.099999999999</v>
      </c>
      <c r="H20" s="129">
        <v>0.72099999999999997</v>
      </c>
      <c r="I20" s="129">
        <v>0.20399999999999999</v>
      </c>
      <c r="J20" s="129">
        <v>0.92500000000000004</v>
      </c>
      <c r="K20" s="130">
        <v>1495.2</v>
      </c>
      <c r="L20" s="131"/>
      <c r="M20" s="132"/>
      <c r="N20" s="133"/>
      <c r="O20" s="131"/>
      <c r="P20" s="134"/>
    </row>
    <row r="21" spans="1:16" ht="19" x14ac:dyDescent="0.25">
      <c r="A21" s="124">
        <v>2016</v>
      </c>
      <c r="B21" s="125">
        <v>25483</v>
      </c>
      <c r="C21" s="126">
        <v>0.82599999999999996</v>
      </c>
      <c r="D21" s="126">
        <v>0.156</v>
      </c>
      <c r="E21" s="126">
        <v>0.98199999999999998</v>
      </c>
      <c r="F21" s="127">
        <v>462</v>
      </c>
      <c r="G21" s="128">
        <v>22474</v>
      </c>
      <c r="H21" s="129">
        <v>0.751</v>
      </c>
      <c r="I21" s="129">
        <v>0.2</v>
      </c>
      <c r="J21" s="129">
        <v>0.95099999999999996</v>
      </c>
      <c r="K21" s="130">
        <v>1091.0999999999999</v>
      </c>
      <c r="L21" s="131"/>
      <c r="M21" s="132"/>
      <c r="N21" s="133"/>
      <c r="O21" s="131"/>
      <c r="P21" s="134"/>
    </row>
    <row r="22" spans="1:16" ht="19" x14ac:dyDescent="0.25">
      <c r="A22" s="124">
        <v>2017</v>
      </c>
      <c r="B22" s="125">
        <v>29441</v>
      </c>
      <c r="C22" s="126">
        <v>0.86599999999999999</v>
      </c>
      <c r="D22" s="126">
        <v>0.14499999999999999</v>
      </c>
      <c r="E22" s="126">
        <v>1.0109999999999999</v>
      </c>
      <c r="F22" s="127">
        <v>-310</v>
      </c>
      <c r="G22" s="128">
        <v>25729.9</v>
      </c>
      <c r="H22" s="129">
        <v>0.73099999999999998</v>
      </c>
      <c r="I22" s="129">
        <v>0.20300000000000001</v>
      </c>
      <c r="J22" s="129">
        <v>0.93400000000000005</v>
      </c>
      <c r="K22" s="130">
        <v>1686.9</v>
      </c>
      <c r="L22" s="131"/>
      <c r="M22" s="132"/>
      <c r="N22" s="133"/>
      <c r="O22" s="131"/>
      <c r="P22" s="134"/>
    </row>
    <row r="23" spans="1:16" ht="19" x14ac:dyDescent="0.25">
      <c r="A23" s="124">
        <v>2018</v>
      </c>
      <c r="B23" s="125">
        <v>33363</v>
      </c>
      <c r="C23" s="126">
        <v>0.78800000000000003</v>
      </c>
      <c r="D23" s="126">
        <v>0.13900000000000001</v>
      </c>
      <c r="E23" s="126">
        <v>0.92700000000000005</v>
      </c>
      <c r="F23" s="127">
        <v>2449</v>
      </c>
      <c r="G23" s="128">
        <v>30933.3</v>
      </c>
      <c r="H23" s="129">
        <v>0.70199999999999996</v>
      </c>
      <c r="I23" s="129">
        <v>0.20399999999999999</v>
      </c>
      <c r="J23" s="129">
        <v>0.90600000000000003</v>
      </c>
      <c r="K23" s="130">
        <v>2915</v>
      </c>
      <c r="L23" s="131"/>
      <c r="M23" s="132"/>
      <c r="N23" s="133"/>
      <c r="O23" s="131"/>
      <c r="P23" s="134"/>
    </row>
    <row r="24" spans="1:16" ht="19" x14ac:dyDescent="0.25">
      <c r="A24" s="124">
        <v>2019</v>
      </c>
      <c r="B24" s="125">
        <v>35572</v>
      </c>
      <c r="C24" s="126">
        <v>0.81299999999999994</v>
      </c>
      <c r="D24" s="126">
        <v>0.14499999999999999</v>
      </c>
      <c r="E24" s="126">
        <v>0.95799999999999996</v>
      </c>
      <c r="F24" s="127">
        <v>1506</v>
      </c>
      <c r="G24" s="128">
        <v>36192.400000000001</v>
      </c>
      <c r="H24" s="129">
        <v>0.70399999999999996</v>
      </c>
      <c r="I24" s="129">
        <v>0.20499999999999999</v>
      </c>
      <c r="J24" s="129">
        <v>0.90900000000000003</v>
      </c>
      <c r="K24" s="130">
        <v>3287.3</v>
      </c>
      <c r="L24" s="131"/>
      <c r="M24" s="132"/>
      <c r="N24" s="133"/>
      <c r="O24" s="131"/>
      <c r="P24" s="134"/>
    </row>
    <row r="25" spans="1:16" ht="19" x14ac:dyDescent="0.25">
      <c r="A25" s="124">
        <v>2020</v>
      </c>
      <c r="B25" s="125">
        <v>35093</v>
      </c>
      <c r="C25" s="126">
        <v>0.74099999999999999</v>
      </c>
      <c r="D25" s="126">
        <v>0.161</v>
      </c>
      <c r="E25" s="126">
        <v>0.90200000000000002</v>
      </c>
      <c r="F25" s="127">
        <v>3428</v>
      </c>
      <c r="G25" s="128">
        <v>39261.599999999999</v>
      </c>
      <c r="H25" s="129">
        <v>0.64</v>
      </c>
      <c r="I25" s="129">
        <v>0.23699999999999999</v>
      </c>
      <c r="J25" s="129">
        <v>0.877</v>
      </c>
      <c r="K25" s="130">
        <v>4822.7</v>
      </c>
      <c r="L25" s="131"/>
      <c r="M25" s="132"/>
      <c r="N25" s="133"/>
      <c r="O25" s="131"/>
      <c r="P25" s="134"/>
    </row>
    <row r="26" spans="1:16" ht="20" thickBot="1" x14ac:dyDescent="0.3">
      <c r="A26" s="124">
        <v>2021</v>
      </c>
      <c r="B26" s="125">
        <v>37706</v>
      </c>
      <c r="C26" s="126">
        <v>0.82199999999999995</v>
      </c>
      <c r="D26" s="126">
        <v>0.14499999999999999</v>
      </c>
      <c r="E26" s="126">
        <v>0.96699999999999997</v>
      </c>
      <c r="F26" s="127">
        <v>1259</v>
      </c>
      <c r="G26" s="128">
        <v>44368.7</v>
      </c>
      <c r="H26" s="129">
        <v>0.75800000000000001</v>
      </c>
      <c r="I26" s="129">
        <v>0.19600000000000001</v>
      </c>
      <c r="J26" s="129">
        <v>0.95299999999999996</v>
      </c>
      <c r="K26" s="130">
        <v>2065.4</v>
      </c>
      <c r="L26" s="131"/>
      <c r="M26" s="132"/>
      <c r="N26" s="133"/>
      <c r="O26" s="131"/>
      <c r="P26" s="134"/>
    </row>
    <row r="27" spans="1:16" ht="19" x14ac:dyDescent="0.25">
      <c r="A27" s="217" t="s">
        <v>73</v>
      </c>
      <c r="B27" s="218"/>
      <c r="C27" s="218"/>
      <c r="D27" s="218"/>
      <c r="E27" s="218"/>
      <c r="F27" s="218"/>
      <c r="G27" s="218"/>
      <c r="H27" s="218"/>
      <c r="I27" s="218"/>
      <c r="J27" s="218"/>
      <c r="K27" s="219"/>
    </row>
    <row r="28" spans="1:16" ht="19" thickBot="1" x14ac:dyDescent="0.25">
      <c r="A28" s="220" t="s">
        <v>246</v>
      </c>
      <c r="B28" s="221"/>
      <c r="C28" s="221"/>
      <c r="D28" s="221"/>
      <c r="E28" s="221"/>
      <c r="F28" s="221"/>
      <c r="G28" s="221"/>
      <c r="H28" s="221"/>
      <c r="I28" s="221"/>
      <c r="J28" s="221"/>
      <c r="K28" s="222"/>
    </row>
    <row r="29" spans="1:16" ht="19" x14ac:dyDescent="0.25">
      <c r="A29" s="136"/>
      <c r="B29" s="137"/>
      <c r="C29" s="138"/>
      <c r="D29" s="138"/>
      <c r="E29" s="138"/>
      <c r="F29" s="137"/>
      <c r="G29" s="137"/>
      <c r="H29" s="138"/>
      <c r="I29" s="138"/>
      <c r="J29" s="138"/>
      <c r="K29" s="137"/>
    </row>
    <row r="30" spans="1:16" ht="20" thickBot="1" x14ac:dyDescent="0.3">
      <c r="A30" s="121"/>
      <c r="B30" s="121"/>
      <c r="C30" s="121"/>
      <c r="D30" s="121"/>
      <c r="E30" s="121"/>
      <c r="F30" s="121"/>
      <c r="G30" s="121"/>
      <c r="H30" s="121"/>
      <c r="I30" s="121"/>
      <c r="J30" s="121"/>
      <c r="K30" s="121"/>
      <c r="L30" s="121"/>
      <c r="M30" s="121"/>
      <c r="N30" s="121"/>
      <c r="O30" s="121"/>
      <c r="P30" s="121"/>
    </row>
    <row r="31" spans="1:16" ht="19" x14ac:dyDescent="0.25">
      <c r="A31" s="238" t="s">
        <v>247</v>
      </c>
      <c r="B31" s="239"/>
      <c r="C31" s="239"/>
      <c r="D31" s="239"/>
      <c r="E31" s="239"/>
      <c r="F31" s="240" t="s">
        <v>64</v>
      </c>
      <c r="G31" s="240"/>
      <c r="H31" s="240" t="s">
        <v>65</v>
      </c>
      <c r="I31" s="241"/>
      <c r="J31" s="121"/>
      <c r="L31" s="121"/>
      <c r="M31" s="121"/>
      <c r="N31" s="121"/>
      <c r="O31" s="121"/>
      <c r="P31" s="121"/>
    </row>
    <row r="32" spans="1:16" ht="19" x14ac:dyDescent="0.25">
      <c r="A32" s="242" t="s">
        <v>74</v>
      </c>
      <c r="B32" s="243"/>
      <c r="C32" s="244"/>
      <c r="D32" s="244"/>
      <c r="E32" s="245"/>
      <c r="F32" s="211">
        <f>((B26/B6)^(1/20))-1</f>
        <v>9.5713195831174103E-2</v>
      </c>
      <c r="G32" s="246"/>
      <c r="H32" s="211">
        <f>((G26/G6)^(1/20))-1</f>
        <v>9.5475642857622889E-2</v>
      </c>
      <c r="I32" s="212"/>
      <c r="J32" s="121"/>
      <c r="K32" s="121"/>
      <c r="L32" s="121"/>
      <c r="M32" s="121"/>
      <c r="N32" s="121"/>
      <c r="O32" s="121"/>
      <c r="P32" s="121"/>
    </row>
    <row r="33" spans="1:16" ht="19" x14ac:dyDescent="0.25">
      <c r="A33" s="231" t="s">
        <v>75</v>
      </c>
      <c r="B33" s="232"/>
      <c r="C33" s="232"/>
      <c r="D33" s="232"/>
      <c r="E33" s="233"/>
      <c r="F33" s="234">
        <f>AVERAGE(C6:C26)</f>
        <v>0.77142857142857135</v>
      </c>
      <c r="G33" s="235"/>
      <c r="H33" s="234">
        <f>AVERAGE(H6:H26)</f>
        <v>0.70938095238095245</v>
      </c>
      <c r="I33" s="236"/>
      <c r="J33" s="121"/>
      <c r="K33" s="121"/>
      <c r="L33" s="121"/>
      <c r="M33" s="121"/>
      <c r="N33" s="121"/>
      <c r="O33" s="121"/>
      <c r="P33" s="121"/>
    </row>
    <row r="34" spans="1:16" ht="19" x14ac:dyDescent="0.25">
      <c r="A34" s="231" t="s">
        <v>76</v>
      </c>
      <c r="B34" s="237"/>
      <c r="C34" s="237"/>
      <c r="D34" s="237"/>
      <c r="E34" s="233"/>
      <c r="F34" s="234">
        <f>AVERAGE(D6:D26)</f>
        <v>0.16819047619047622</v>
      </c>
      <c r="G34" s="235"/>
      <c r="H34" s="234">
        <f>AVERAGE(I6:I26)</f>
        <v>0.20776190476190479</v>
      </c>
      <c r="I34" s="236"/>
      <c r="J34" s="121"/>
      <c r="K34" s="121"/>
      <c r="L34" s="121"/>
      <c r="M34" s="121"/>
      <c r="N34" s="121"/>
      <c r="O34" s="121"/>
      <c r="P34" s="121"/>
    </row>
    <row r="35" spans="1:16" ht="20" thickBot="1" x14ac:dyDescent="0.3">
      <c r="A35" s="223" t="s">
        <v>77</v>
      </c>
      <c r="B35" s="224"/>
      <c r="C35" s="224"/>
      <c r="D35" s="224"/>
      <c r="E35" s="225"/>
      <c r="F35" s="226">
        <f>AVERAGE(E6:E26)</f>
        <v>0.93966666666666654</v>
      </c>
      <c r="G35" s="227"/>
      <c r="H35" s="226">
        <f>AVERAGE(J6:J26)</f>
        <v>0.91709523809523796</v>
      </c>
      <c r="I35" s="228"/>
      <c r="J35" s="121"/>
      <c r="K35" s="121"/>
      <c r="L35" s="121"/>
      <c r="M35" s="121"/>
      <c r="N35" s="121"/>
      <c r="O35" s="121"/>
      <c r="P35" s="121"/>
    </row>
    <row r="36" spans="1:16" ht="19" x14ac:dyDescent="0.25">
      <c r="A36" s="121"/>
      <c r="B36" s="121"/>
      <c r="C36" s="121"/>
      <c r="D36" s="121"/>
      <c r="E36" s="121"/>
      <c r="F36" s="121"/>
      <c r="G36" s="121"/>
      <c r="H36" s="121"/>
      <c r="I36" s="121"/>
      <c r="J36" s="121"/>
      <c r="K36" s="121"/>
      <c r="L36" s="121"/>
      <c r="M36" s="121"/>
      <c r="N36" s="121"/>
      <c r="O36" s="121"/>
      <c r="P36" s="121"/>
    </row>
  </sheetData>
  <mergeCells count="21">
    <mergeCell ref="A35:E35"/>
    <mergeCell ref="F35:G35"/>
    <mergeCell ref="H35:I35"/>
    <mergeCell ref="A3:K3"/>
    <mergeCell ref="A1:B1"/>
    <mergeCell ref="A33:E33"/>
    <mergeCell ref="F33:G33"/>
    <mergeCell ref="H33:I33"/>
    <mergeCell ref="A34:E34"/>
    <mergeCell ref="F34:G34"/>
    <mergeCell ref="H34:I34"/>
    <mergeCell ref="A31:E31"/>
    <mergeCell ref="F31:G31"/>
    <mergeCell ref="H31:I31"/>
    <mergeCell ref="A32:E32"/>
    <mergeCell ref="F32:G32"/>
    <mergeCell ref="H32:I32"/>
    <mergeCell ref="B4:F4"/>
    <mergeCell ref="G4:K4"/>
    <mergeCell ref="A27:K27"/>
    <mergeCell ref="A28:K28"/>
  </mergeCells>
  <printOptions gridLines="1"/>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4912D-2BFE-5744-8FE3-9155D9F932E9}">
  <sheetPr>
    <tabColor rgb="FFFFC000"/>
  </sheetPr>
  <dimension ref="A1:AW108"/>
  <sheetViews>
    <sheetView zoomScaleNormal="100" workbookViewId="0"/>
  </sheetViews>
  <sheetFormatPr baseColWidth="10" defaultRowHeight="19" x14ac:dyDescent="0.25"/>
  <cols>
    <col min="1" max="1" width="53.1640625" style="1" customWidth="1"/>
    <col min="2" max="34" width="10.83203125" style="1"/>
    <col min="35" max="36" width="12" style="1" bestFit="1" customWidth="1"/>
    <col min="37" max="48" width="11" style="1" bestFit="1" customWidth="1"/>
    <col min="49" max="16384" width="10.83203125" style="1"/>
  </cols>
  <sheetData>
    <row r="1" spans="1:49" ht="24" x14ac:dyDescent="0.3">
      <c r="A1" s="19" t="s">
        <v>160</v>
      </c>
    </row>
    <row r="2" spans="1:49" x14ac:dyDescent="0.25">
      <c r="A2" s="2" t="s">
        <v>358</v>
      </c>
    </row>
    <row r="3" spans="1:49" x14ac:dyDescent="0.25">
      <c r="A3" s="1" t="s">
        <v>144</v>
      </c>
    </row>
    <row r="4" spans="1:49" x14ac:dyDescent="0.25">
      <c r="A4" s="1" t="s">
        <v>161</v>
      </c>
    </row>
    <row r="5" spans="1:49" x14ac:dyDescent="0.25">
      <c r="A5" s="1" t="s">
        <v>162</v>
      </c>
    </row>
    <row r="6" spans="1:49" x14ac:dyDescent="0.25">
      <c r="A6" s="249"/>
      <c r="B6" s="247">
        <v>2022</v>
      </c>
      <c r="C6" s="202"/>
      <c r="D6" s="202"/>
      <c r="E6" s="202"/>
      <c r="F6" s="202"/>
      <c r="G6" s="202"/>
      <c r="H6" s="202"/>
      <c r="I6" s="202"/>
      <c r="J6" s="202"/>
      <c r="K6" s="202"/>
      <c r="L6" s="202"/>
      <c r="M6" s="248">
        <v>2021</v>
      </c>
      <c r="N6" s="197"/>
      <c r="O6" s="197"/>
      <c r="P6" s="197"/>
      <c r="Q6" s="197"/>
      <c r="R6" s="197"/>
      <c r="S6" s="197"/>
      <c r="T6" s="197"/>
      <c r="U6" s="197"/>
      <c r="V6" s="197"/>
      <c r="W6" s="197"/>
      <c r="X6" s="197"/>
      <c r="Y6" s="247">
        <v>2020</v>
      </c>
      <c r="Z6" s="202"/>
      <c r="AA6" s="202"/>
      <c r="AB6" s="202"/>
      <c r="AC6" s="202"/>
      <c r="AD6" s="202"/>
      <c r="AE6" s="202"/>
      <c r="AF6" s="202"/>
      <c r="AG6" s="202"/>
      <c r="AH6" s="202"/>
      <c r="AI6" s="202"/>
      <c r="AJ6" s="202"/>
      <c r="AK6" s="248">
        <v>2019</v>
      </c>
      <c r="AL6" s="197"/>
      <c r="AM6" s="197"/>
      <c r="AN6" s="197"/>
      <c r="AO6" s="197"/>
      <c r="AP6" s="197"/>
      <c r="AQ6" s="197"/>
      <c r="AR6" s="197"/>
      <c r="AS6" s="197"/>
      <c r="AT6" s="197"/>
      <c r="AU6" s="197"/>
      <c r="AV6" s="197"/>
    </row>
    <row r="7" spans="1:49" x14ac:dyDescent="0.25">
      <c r="A7" s="250"/>
      <c r="B7" s="5" t="s">
        <v>123</v>
      </c>
      <c r="C7" s="5" t="s">
        <v>124</v>
      </c>
      <c r="D7" s="5" t="s">
        <v>125</v>
      </c>
      <c r="E7" s="5" t="s">
        <v>126</v>
      </c>
      <c r="F7" s="5" t="s">
        <v>127</v>
      </c>
      <c r="G7" s="5" t="s">
        <v>128</v>
      </c>
      <c r="H7" s="5" t="s">
        <v>129</v>
      </c>
      <c r="I7" s="5" t="s">
        <v>130</v>
      </c>
      <c r="J7" s="5" t="s">
        <v>131</v>
      </c>
      <c r="K7" s="5" t="s">
        <v>132</v>
      </c>
      <c r="L7" s="5" t="s">
        <v>133</v>
      </c>
      <c r="M7" s="6" t="s">
        <v>134</v>
      </c>
      <c r="N7" s="6" t="s">
        <v>123</v>
      </c>
      <c r="O7" s="6" t="s">
        <v>124</v>
      </c>
      <c r="P7" s="6" t="s">
        <v>125</v>
      </c>
      <c r="Q7" s="6" t="s">
        <v>126</v>
      </c>
      <c r="R7" s="6" t="s">
        <v>127</v>
      </c>
      <c r="S7" s="6" t="s">
        <v>128</v>
      </c>
      <c r="T7" s="6" t="s">
        <v>129</v>
      </c>
      <c r="U7" s="6" t="s">
        <v>130</v>
      </c>
      <c r="V7" s="6" t="s">
        <v>131</v>
      </c>
      <c r="W7" s="6" t="s">
        <v>132</v>
      </c>
      <c r="X7" s="6" t="s">
        <v>133</v>
      </c>
      <c r="Y7" s="5" t="s">
        <v>134</v>
      </c>
      <c r="Z7" s="5" t="s">
        <v>123</v>
      </c>
      <c r="AA7" s="5" t="s">
        <v>124</v>
      </c>
      <c r="AB7" s="5" t="s">
        <v>125</v>
      </c>
      <c r="AC7" s="5" t="s">
        <v>126</v>
      </c>
      <c r="AD7" s="5" t="s">
        <v>127</v>
      </c>
      <c r="AE7" s="5" t="s">
        <v>128</v>
      </c>
      <c r="AF7" s="5" t="s">
        <v>129</v>
      </c>
      <c r="AG7" s="5" t="s">
        <v>130</v>
      </c>
      <c r="AH7" s="5" t="s">
        <v>131</v>
      </c>
      <c r="AI7" s="5" t="s">
        <v>132</v>
      </c>
      <c r="AJ7" s="5" t="s">
        <v>133</v>
      </c>
      <c r="AK7" s="6" t="s">
        <v>134</v>
      </c>
      <c r="AL7" s="6" t="s">
        <v>123</v>
      </c>
      <c r="AM7" s="6" t="s">
        <v>124</v>
      </c>
      <c r="AN7" s="6" t="s">
        <v>125</v>
      </c>
      <c r="AO7" s="6" t="s">
        <v>126</v>
      </c>
      <c r="AP7" s="6" t="s">
        <v>127</v>
      </c>
      <c r="AQ7" s="6" t="s">
        <v>128</v>
      </c>
      <c r="AR7" s="6" t="s">
        <v>129</v>
      </c>
      <c r="AS7" s="6" t="s">
        <v>130</v>
      </c>
      <c r="AT7" s="6" t="s">
        <v>131</v>
      </c>
      <c r="AU7" s="6" t="s">
        <v>132</v>
      </c>
      <c r="AV7" s="6" t="s">
        <v>133</v>
      </c>
    </row>
    <row r="8" spans="1:49" ht="21" x14ac:dyDescent="0.25">
      <c r="A8" s="20" t="s">
        <v>145</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row>
    <row r="9" spans="1:49" x14ac:dyDescent="0.25">
      <c r="A9" s="10" t="s">
        <v>159</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row>
    <row r="10" spans="1:49" x14ac:dyDescent="0.25">
      <c r="A10" s="11" t="s">
        <v>135</v>
      </c>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row>
    <row r="11" spans="1:49" x14ac:dyDescent="0.25">
      <c r="A11" s="11" t="s">
        <v>136</v>
      </c>
      <c r="B11" s="8">
        <v>7732.1</v>
      </c>
      <c r="C11" s="8">
        <v>7677.9</v>
      </c>
      <c r="D11" s="8">
        <v>7600.3</v>
      </c>
      <c r="E11" s="8">
        <v>7606</v>
      </c>
      <c r="F11" s="8">
        <v>7599.7</v>
      </c>
      <c r="G11" s="8">
        <v>7619.5</v>
      </c>
      <c r="H11" s="8">
        <v>7658.9</v>
      </c>
      <c r="I11" s="8">
        <v>7702.3</v>
      </c>
      <c r="J11" s="8">
        <v>7758.4</v>
      </c>
      <c r="K11" s="8">
        <v>7805.6</v>
      </c>
      <c r="L11" s="8">
        <v>7833.5</v>
      </c>
      <c r="M11" s="8">
        <v>7879</v>
      </c>
      <c r="N11" s="8">
        <v>7921.9</v>
      </c>
      <c r="O11" s="8">
        <v>7961.1</v>
      </c>
      <c r="P11" s="8">
        <v>7973.6</v>
      </c>
      <c r="Q11" s="8">
        <v>8013.3</v>
      </c>
      <c r="R11" s="8">
        <v>8014.2</v>
      </c>
      <c r="S11" s="8">
        <v>8014.2</v>
      </c>
      <c r="T11" s="8">
        <v>7986.3</v>
      </c>
      <c r="U11" s="8">
        <v>7951.8</v>
      </c>
      <c r="V11" s="8">
        <v>7863.5</v>
      </c>
      <c r="W11" s="8">
        <v>7752.6</v>
      </c>
      <c r="X11" s="8">
        <v>7696.7</v>
      </c>
      <c r="Y11" s="8">
        <v>7617</v>
      </c>
      <c r="Z11" s="8">
        <v>7616.1</v>
      </c>
      <c r="AA11" s="8">
        <v>7583.4</v>
      </c>
      <c r="AB11" s="8">
        <v>7527.1</v>
      </c>
      <c r="AC11" s="8">
        <v>7487</v>
      </c>
      <c r="AD11" s="8">
        <v>7435.4</v>
      </c>
      <c r="AE11" s="8">
        <v>7362.5</v>
      </c>
      <c r="AF11" s="8">
        <v>7336.7</v>
      </c>
      <c r="AG11" s="8">
        <v>7237.1</v>
      </c>
      <c r="AH11" s="8">
        <v>7164.6</v>
      </c>
      <c r="AI11" s="8">
        <v>7148.1</v>
      </c>
      <c r="AJ11" s="8">
        <v>7060.5</v>
      </c>
      <c r="AK11" s="8">
        <v>6994.3</v>
      </c>
      <c r="AL11" s="8">
        <v>6986.4</v>
      </c>
      <c r="AM11" s="8">
        <v>6949.9</v>
      </c>
      <c r="AN11" s="8">
        <v>6903.8</v>
      </c>
      <c r="AO11" s="8">
        <v>6862.4</v>
      </c>
      <c r="AP11" s="8">
        <v>6832.8</v>
      </c>
      <c r="AQ11" s="8">
        <v>6783.7</v>
      </c>
      <c r="AR11" s="8">
        <v>6732.4</v>
      </c>
      <c r="AS11" s="8">
        <v>6687.2</v>
      </c>
      <c r="AT11" s="8">
        <v>6609.1</v>
      </c>
      <c r="AU11" s="8">
        <v>6497.4</v>
      </c>
      <c r="AV11" s="8">
        <v>6413.5</v>
      </c>
      <c r="AW11" s="8"/>
    </row>
    <row r="12" spans="1:49" x14ac:dyDescent="0.25">
      <c r="A12" s="11" t="s">
        <v>137</v>
      </c>
      <c r="B12" s="8">
        <v>10096.1</v>
      </c>
      <c r="C12" s="8">
        <v>10002.5</v>
      </c>
      <c r="D12" s="8">
        <v>9823.7999999999993</v>
      </c>
      <c r="E12" s="8">
        <v>9730.2999999999993</v>
      </c>
      <c r="F12" s="8">
        <v>9633.2000000000007</v>
      </c>
      <c r="G12" s="8">
        <v>9557</v>
      </c>
      <c r="H12" s="8">
        <v>9541.1</v>
      </c>
      <c r="I12" s="8">
        <v>9537.7000000000007</v>
      </c>
      <c r="J12" s="8">
        <v>9541.2999999999993</v>
      </c>
      <c r="K12" s="8">
        <v>9558.7999999999993</v>
      </c>
      <c r="L12" s="8">
        <v>9556.2000000000007</v>
      </c>
      <c r="M12" s="8">
        <v>9568.2000000000007</v>
      </c>
      <c r="N12" s="8">
        <v>9600.7999999999993</v>
      </c>
      <c r="O12" s="8">
        <v>9628.2999999999993</v>
      </c>
      <c r="P12" s="8">
        <v>9613.1</v>
      </c>
      <c r="Q12" s="8">
        <v>9638</v>
      </c>
      <c r="R12" s="8">
        <v>9614.9</v>
      </c>
      <c r="S12" s="8">
        <v>9581.2999999999993</v>
      </c>
      <c r="T12" s="8">
        <v>9537.1</v>
      </c>
      <c r="U12" s="8">
        <v>9478.6</v>
      </c>
      <c r="V12" s="8">
        <v>9338.7999999999993</v>
      </c>
      <c r="W12" s="8">
        <v>9132.2999999999993</v>
      </c>
      <c r="X12" s="8">
        <v>9022.7000000000007</v>
      </c>
      <c r="Y12" s="8">
        <v>8881.4</v>
      </c>
      <c r="Z12" s="8">
        <v>8881.1</v>
      </c>
      <c r="AA12" s="8">
        <v>8840.1</v>
      </c>
      <c r="AB12" s="8">
        <v>8774.2999999999993</v>
      </c>
      <c r="AC12" s="8">
        <v>8714.2999999999993</v>
      </c>
      <c r="AD12" s="8">
        <v>8634.4</v>
      </c>
      <c r="AE12" s="8">
        <v>8507.6</v>
      </c>
      <c r="AF12" s="8">
        <v>8434.4</v>
      </c>
      <c r="AG12" s="8">
        <v>8269.2000000000007</v>
      </c>
      <c r="AH12" s="8">
        <v>8126.3</v>
      </c>
      <c r="AI12" s="8">
        <v>8095.1</v>
      </c>
      <c r="AJ12" s="8">
        <v>7957.3</v>
      </c>
      <c r="AK12" s="8">
        <v>7866.5</v>
      </c>
      <c r="AL12" s="8">
        <v>7841.2</v>
      </c>
      <c r="AM12" s="8">
        <v>7774.4</v>
      </c>
      <c r="AN12" s="8">
        <v>7716</v>
      </c>
      <c r="AO12" s="8">
        <v>7641.9</v>
      </c>
      <c r="AP12" s="8">
        <v>7599.2</v>
      </c>
      <c r="AQ12" s="8">
        <v>7528.4</v>
      </c>
      <c r="AR12" s="8">
        <v>7467.5</v>
      </c>
      <c r="AS12" s="8">
        <v>7427.8</v>
      </c>
      <c r="AT12" s="8">
        <v>7335.3</v>
      </c>
      <c r="AU12" s="8">
        <v>7189.9</v>
      </c>
      <c r="AV12" s="8">
        <v>7086.6</v>
      </c>
      <c r="AW12" s="8"/>
    </row>
    <row r="13" spans="1:49" x14ac:dyDescent="0.25">
      <c r="A13" s="11" t="s">
        <v>138</v>
      </c>
      <c r="B13" s="12">
        <f>SUM(B11:B12)</f>
        <v>17828.2</v>
      </c>
      <c r="C13" s="12">
        <f>SUM(C11:C12)</f>
        <v>17680.400000000001</v>
      </c>
      <c r="D13" s="12">
        <f t="shared" ref="D13:AV13" si="0">SUM(D11:D12)</f>
        <v>17424.099999999999</v>
      </c>
      <c r="E13" s="12">
        <f t="shared" si="0"/>
        <v>17336.3</v>
      </c>
      <c r="F13" s="12">
        <f t="shared" si="0"/>
        <v>17232.900000000001</v>
      </c>
      <c r="G13" s="12">
        <f t="shared" si="0"/>
        <v>17176.5</v>
      </c>
      <c r="H13" s="12">
        <f t="shared" si="0"/>
        <v>17200</v>
      </c>
      <c r="I13" s="12">
        <f t="shared" si="0"/>
        <v>17240</v>
      </c>
      <c r="J13" s="12">
        <f t="shared" si="0"/>
        <v>17299.699999999997</v>
      </c>
      <c r="K13" s="12">
        <f t="shared" si="0"/>
        <v>17364.400000000001</v>
      </c>
      <c r="L13" s="12">
        <f t="shared" si="0"/>
        <v>17389.7</v>
      </c>
      <c r="M13" s="12">
        <f t="shared" si="0"/>
        <v>17447.2</v>
      </c>
      <c r="N13" s="12">
        <f t="shared" si="0"/>
        <v>17522.699999999997</v>
      </c>
      <c r="O13" s="12">
        <f t="shared" si="0"/>
        <v>17589.400000000001</v>
      </c>
      <c r="P13" s="12">
        <f t="shared" si="0"/>
        <v>17586.7</v>
      </c>
      <c r="Q13" s="12">
        <f t="shared" si="0"/>
        <v>17651.3</v>
      </c>
      <c r="R13" s="12">
        <f t="shared" si="0"/>
        <v>17629.099999999999</v>
      </c>
      <c r="S13" s="12">
        <f t="shared" si="0"/>
        <v>17595.5</v>
      </c>
      <c r="T13" s="12">
        <f t="shared" si="0"/>
        <v>17523.400000000001</v>
      </c>
      <c r="U13" s="12">
        <f t="shared" si="0"/>
        <v>17430.400000000001</v>
      </c>
      <c r="V13" s="12">
        <f t="shared" si="0"/>
        <v>17202.3</v>
      </c>
      <c r="W13" s="12">
        <f t="shared" si="0"/>
        <v>16884.900000000001</v>
      </c>
      <c r="X13" s="12">
        <f t="shared" si="0"/>
        <v>16719.400000000001</v>
      </c>
      <c r="Y13" s="12">
        <f t="shared" si="0"/>
        <v>16498.400000000001</v>
      </c>
      <c r="Z13" s="12">
        <f t="shared" si="0"/>
        <v>16497.2</v>
      </c>
      <c r="AA13" s="12">
        <f t="shared" si="0"/>
        <v>16423.5</v>
      </c>
      <c r="AB13" s="12">
        <f t="shared" si="0"/>
        <v>16301.4</v>
      </c>
      <c r="AC13" s="12">
        <f t="shared" si="0"/>
        <v>16201.3</v>
      </c>
      <c r="AD13" s="12">
        <f t="shared" si="0"/>
        <v>16069.8</v>
      </c>
      <c r="AE13" s="12">
        <f t="shared" si="0"/>
        <v>15870.1</v>
      </c>
      <c r="AF13" s="12">
        <f t="shared" si="0"/>
        <v>15771.099999999999</v>
      </c>
      <c r="AG13" s="12">
        <f t="shared" si="0"/>
        <v>15506.300000000001</v>
      </c>
      <c r="AH13" s="12">
        <f t="shared" si="0"/>
        <v>15290.900000000001</v>
      </c>
      <c r="AI13" s="12">
        <f t="shared" si="0"/>
        <v>15243.2</v>
      </c>
      <c r="AJ13" s="12">
        <f t="shared" si="0"/>
        <v>15017.8</v>
      </c>
      <c r="AK13" s="12">
        <f t="shared" si="0"/>
        <v>14860.8</v>
      </c>
      <c r="AL13" s="12">
        <f t="shared" si="0"/>
        <v>14827.599999999999</v>
      </c>
      <c r="AM13" s="12">
        <f t="shared" si="0"/>
        <v>14724.3</v>
      </c>
      <c r="AN13" s="12">
        <f t="shared" si="0"/>
        <v>14619.8</v>
      </c>
      <c r="AO13" s="12">
        <f t="shared" si="0"/>
        <v>14504.3</v>
      </c>
      <c r="AP13" s="12">
        <f t="shared" si="0"/>
        <v>14432</v>
      </c>
      <c r="AQ13" s="12">
        <f t="shared" si="0"/>
        <v>14312.099999999999</v>
      </c>
      <c r="AR13" s="12">
        <f t="shared" si="0"/>
        <v>14199.9</v>
      </c>
      <c r="AS13" s="12">
        <f t="shared" si="0"/>
        <v>14115</v>
      </c>
      <c r="AT13" s="12">
        <f t="shared" si="0"/>
        <v>13944.400000000001</v>
      </c>
      <c r="AU13" s="12">
        <f t="shared" si="0"/>
        <v>13687.3</v>
      </c>
      <c r="AV13" s="12">
        <f t="shared" si="0"/>
        <v>13500.1</v>
      </c>
      <c r="AW13" s="8"/>
    </row>
    <row r="14" spans="1:49" x14ac:dyDescent="0.25">
      <c r="A14" s="11" t="s">
        <v>139</v>
      </c>
      <c r="B14" s="8">
        <v>5560.1</v>
      </c>
      <c r="C14" s="8">
        <v>5564.1</v>
      </c>
      <c r="D14" s="8">
        <v>5558</v>
      </c>
      <c r="E14" s="8">
        <v>5548.9</v>
      </c>
      <c r="F14" s="8">
        <v>5525</v>
      </c>
      <c r="G14" s="8">
        <v>5485</v>
      </c>
      <c r="H14" s="8">
        <v>5440.8</v>
      </c>
      <c r="I14" s="8">
        <v>5392</v>
      </c>
      <c r="J14" s="8">
        <v>5345.9</v>
      </c>
      <c r="K14" s="8">
        <v>5318</v>
      </c>
      <c r="L14" s="8">
        <v>5299.6</v>
      </c>
      <c r="M14" s="8">
        <v>5288.5</v>
      </c>
      <c r="N14" s="8">
        <v>5286.9</v>
      </c>
      <c r="O14" s="8">
        <v>5288.9</v>
      </c>
      <c r="P14" s="8">
        <v>5282.4</v>
      </c>
      <c r="Q14" s="8">
        <v>5272.5</v>
      </c>
      <c r="R14" s="8">
        <v>5249.9</v>
      </c>
      <c r="S14" s="8">
        <v>5211.7</v>
      </c>
      <c r="T14" s="8">
        <v>5163.7</v>
      </c>
      <c r="U14" s="8">
        <v>5106.7</v>
      </c>
      <c r="V14" s="8">
        <v>5026.7</v>
      </c>
      <c r="W14" s="8">
        <v>4957.3999999999996</v>
      </c>
      <c r="X14" s="8">
        <v>4936.2</v>
      </c>
      <c r="Y14" s="8">
        <v>4915.1000000000004</v>
      </c>
      <c r="Z14" s="8">
        <v>4913.3999999999996</v>
      </c>
      <c r="AA14" s="8">
        <v>4911.8999999999996</v>
      </c>
      <c r="AB14" s="8">
        <v>4905.8</v>
      </c>
      <c r="AC14" s="8">
        <v>4891.1000000000004</v>
      </c>
      <c r="AD14" s="8">
        <v>4854.8</v>
      </c>
      <c r="AE14" s="8">
        <v>4790.5</v>
      </c>
      <c r="AF14" s="8">
        <v>4715.7</v>
      </c>
      <c r="AG14" s="8">
        <v>4618.1000000000004</v>
      </c>
      <c r="AH14" s="8">
        <v>4574.5</v>
      </c>
      <c r="AI14" s="8">
        <v>4570.7</v>
      </c>
      <c r="AJ14" s="8">
        <v>4553.8999999999996</v>
      </c>
      <c r="AK14" s="8">
        <v>4547.8</v>
      </c>
      <c r="AL14" s="8">
        <v>4554.3999999999996</v>
      </c>
      <c r="AM14" s="8">
        <v>4560.8</v>
      </c>
      <c r="AN14" s="8">
        <v>4567.6000000000004</v>
      </c>
      <c r="AO14" s="8">
        <v>4562.6000000000004</v>
      </c>
      <c r="AP14" s="8">
        <v>4545.2</v>
      </c>
      <c r="AQ14" s="8">
        <v>4510.2</v>
      </c>
      <c r="AR14" s="8">
        <v>4477.3999999999996</v>
      </c>
      <c r="AS14" s="8">
        <v>4444.2</v>
      </c>
      <c r="AT14" s="8">
        <v>4402.1000000000004</v>
      </c>
      <c r="AU14" s="8">
        <v>4380.7</v>
      </c>
      <c r="AV14" s="8">
        <v>4379.3999999999996</v>
      </c>
      <c r="AW14" s="8"/>
    </row>
    <row r="15" spans="1:49" x14ac:dyDescent="0.25">
      <c r="A15" s="11" t="s">
        <v>140</v>
      </c>
      <c r="B15" s="12">
        <f>SUM(B13:B14)</f>
        <v>23388.300000000003</v>
      </c>
      <c r="C15" s="12">
        <f t="shared" ref="C15:AV15" si="1">SUM(C13:C14)</f>
        <v>23244.5</v>
      </c>
      <c r="D15" s="12">
        <f t="shared" si="1"/>
        <v>22982.1</v>
      </c>
      <c r="E15" s="12">
        <f t="shared" si="1"/>
        <v>22885.199999999997</v>
      </c>
      <c r="F15" s="12">
        <f t="shared" si="1"/>
        <v>22757.9</v>
      </c>
      <c r="G15" s="12">
        <f t="shared" si="1"/>
        <v>22661.5</v>
      </c>
      <c r="H15" s="12">
        <f t="shared" si="1"/>
        <v>22640.799999999999</v>
      </c>
      <c r="I15" s="12">
        <f t="shared" si="1"/>
        <v>22632</v>
      </c>
      <c r="J15" s="12">
        <f t="shared" si="1"/>
        <v>22645.599999999999</v>
      </c>
      <c r="K15" s="12">
        <f t="shared" si="1"/>
        <v>22682.400000000001</v>
      </c>
      <c r="L15" s="12">
        <f t="shared" si="1"/>
        <v>22689.300000000003</v>
      </c>
      <c r="M15" s="12">
        <f t="shared" si="1"/>
        <v>22735.7</v>
      </c>
      <c r="N15" s="12">
        <f t="shared" si="1"/>
        <v>22809.599999999999</v>
      </c>
      <c r="O15" s="12">
        <f t="shared" si="1"/>
        <v>22878.300000000003</v>
      </c>
      <c r="P15" s="12">
        <f t="shared" si="1"/>
        <v>22869.1</v>
      </c>
      <c r="Q15" s="12">
        <f t="shared" si="1"/>
        <v>22923.8</v>
      </c>
      <c r="R15" s="12">
        <f t="shared" si="1"/>
        <v>22879</v>
      </c>
      <c r="S15" s="12">
        <f t="shared" si="1"/>
        <v>22807.200000000001</v>
      </c>
      <c r="T15" s="12">
        <f t="shared" si="1"/>
        <v>22687.100000000002</v>
      </c>
      <c r="U15" s="12">
        <f t="shared" si="1"/>
        <v>22537.100000000002</v>
      </c>
      <c r="V15" s="12">
        <f t="shared" si="1"/>
        <v>22229</v>
      </c>
      <c r="W15" s="12">
        <f t="shared" si="1"/>
        <v>21842.300000000003</v>
      </c>
      <c r="X15" s="12">
        <f t="shared" si="1"/>
        <v>21655.600000000002</v>
      </c>
      <c r="Y15" s="12">
        <f t="shared" si="1"/>
        <v>21413.5</v>
      </c>
      <c r="Z15" s="12">
        <f t="shared" si="1"/>
        <v>21410.6</v>
      </c>
      <c r="AA15" s="12">
        <f t="shared" si="1"/>
        <v>21335.4</v>
      </c>
      <c r="AB15" s="12">
        <f t="shared" si="1"/>
        <v>21207.200000000001</v>
      </c>
      <c r="AC15" s="12">
        <f t="shared" si="1"/>
        <v>21092.400000000001</v>
      </c>
      <c r="AD15" s="12">
        <f t="shared" si="1"/>
        <v>20924.599999999999</v>
      </c>
      <c r="AE15" s="12">
        <f t="shared" si="1"/>
        <v>20660.599999999999</v>
      </c>
      <c r="AF15" s="12">
        <f t="shared" si="1"/>
        <v>20486.8</v>
      </c>
      <c r="AG15" s="12">
        <f t="shared" si="1"/>
        <v>20124.400000000001</v>
      </c>
      <c r="AH15" s="12">
        <f t="shared" si="1"/>
        <v>19865.400000000001</v>
      </c>
      <c r="AI15" s="12">
        <f t="shared" si="1"/>
        <v>19813.900000000001</v>
      </c>
      <c r="AJ15" s="12">
        <f t="shared" si="1"/>
        <v>19571.699999999997</v>
      </c>
      <c r="AK15" s="12">
        <f t="shared" si="1"/>
        <v>19408.599999999999</v>
      </c>
      <c r="AL15" s="12">
        <f t="shared" si="1"/>
        <v>19382</v>
      </c>
      <c r="AM15" s="12">
        <f t="shared" si="1"/>
        <v>19285.099999999999</v>
      </c>
      <c r="AN15" s="12">
        <f t="shared" si="1"/>
        <v>19187.400000000001</v>
      </c>
      <c r="AO15" s="12">
        <f t="shared" si="1"/>
        <v>19066.900000000001</v>
      </c>
      <c r="AP15" s="12">
        <f t="shared" si="1"/>
        <v>18977.2</v>
      </c>
      <c r="AQ15" s="12">
        <f t="shared" si="1"/>
        <v>18822.3</v>
      </c>
      <c r="AR15" s="12">
        <f t="shared" si="1"/>
        <v>18677.3</v>
      </c>
      <c r="AS15" s="12">
        <f t="shared" si="1"/>
        <v>18559.2</v>
      </c>
      <c r="AT15" s="12">
        <f t="shared" si="1"/>
        <v>18346.5</v>
      </c>
      <c r="AU15" s="12">
        <f t="shared" si="1"/>
        <v>18068</v>
      </c>
      <c r="AV15" s="12">
        <f t="shared" si="1"/>
        <v>17879.5</v>
      </c>
      <c r="AW15" s="8"/>
    </row>
    <row r="16" spans="1:49" x14ac:dyDescent="0.25">
      <c r="A16" s="11" t="s">
        <v>141</v>
      </c>
      <c r="B16" s="8">
        <v>1048.7</v>
      </c>
      <c r="C16" s="8">
        <v>1047.8</v>
      </c>
      <c r="D16" s="8">
        <v>1039.8</v>
      </c>
      <c r="E16" s="8">
        <v>1036.2</v>
      </c>
      <c r="F16" s="8">
        <v>1030</v>
      </c>
      <c r="G16" s="8">
        <v>1024.5999999999999</v>
      </c>
      <c r="H16" s="8">
        <v>1019.3</v>
      </c>
      <c r="I16" s="8">
        <v>1012.3</v>
      </c>
      <c r="J16" s="8">
        <v>999.8</v>
      </c>
      <c r="K16" s="8">
        <v>989.2</v>
      </c>
      <c r="L16" s="8">
        <v>979.9</v>
      </c>
      <c r="M16" s="8">
        <v>971.2</v>
      </c>
      <c r="N16" s="8">
        <v>968.8</v>
      </c>
      <c r="O16" s="8">
        <v>964.3</v>
      </c>
      <c r="P16" s="8">
        <v>952.7</v>
      </c>
      <c r="Q16" s="8">
        <v>942.1</v>
      </c>
      <c r="R16" s="8">
        <v>930.1</v>
      </c>
      <c r="S16" s="8">
        <v>916.6</v>
      </c>
      <c r="T16" s="8">
        <v>893.4</v>
      </c>
      <c r="U16" s="8">
        <v>881.2</v>
      </c>
      <c r="V16" s="8">
        <v>858.9</v>
      </c>
      <c r="W16" s="8">
        <v>842</v>
      </c>
      <c r="X16" s="8">
        <v>833.4</v>
      </c>
      <c r="Y16" s="8">
        <v>822</v>
      </c>
      <c r="Z16" s="8">
        <v>819.4</v>
      </c>
      <c r="AA16" s="8">
        <v>815.4</v>
      </c>
      <c r="AB16" s="8">
        <v>803.9</v>
      </c>
      <c r="AC16" s="8">
        <v>795.4</v>
      </c>
      <c r="AD16" s="8">
        <v>785.7</v>
      </c>
      <c r="AE16" s="8">
        <v>775.8</v>
      </c>
      <c r="AF16" s="8">
        <v>776.6</v>
      </c>
      <c r="AG16" s="8">
        <v>764.6</v>
      </c>
      <c r="AH16" s="8">
        <v>759.7</v>
      </c>
      <c r="AI16" s="8">
        <v>764</v>
      </c>
      <c r="AJ16" s="8">
        <v>756.8</v>
      </c>
      <c r="AK16" s="8">
        <v>751.4</v>
      </c>
      <c r="AL16" s="8">
        <v>753.8</v>
      </c>
      <c r="AM16" s="8">
        <v>752.9</v>
      </c>
      <c r="AN16" s="8">
        <v>748.7</v>
      </c>
      <c r="AO16" s="8">
        <v>744.6</v>
      </c>
      <c r="AP16" s="8">
        <v>740.5</v>
      </c>
      <c r="AQ16" s="8">
        <v>734.2</v>
      </c>
      <c r="AR16" s="8">
        <v>728.2</v>
      </c>
      <c r="AS16" s="8">
        <v>721.7</v>
      </c>
      <c r="AT16" s="8">
        <v>711.6</v>
      </c>
      <c r="AU16" s="8">
        <v>703.8</v>
      </c>
      <c r="AV16" s="8">
        <v>700.3</v>
      </c>
      <c r="AW16" s="8"/>
    </row>
    <row r="17" spans="1:49" x14ac:dyDescent="0.25">
      <c r="A17" s="11" t="s">
        <v>142</v>
      </c>
      <c r="B17" s="8">
        <v>2841.9</v>
      </c>
      <c r="C17" s="8">
        <v>2838.6</v>
      </c>
      <c r="D17" s="8">
        <v>2835.5</v>
      </c>
      <c r="E17" s="8">
        <v>2832.1</v>
      </c>
      <c r="F17" s="8">
        <v>2827.5</v>
      </c>
      <c r="G17" s="8">
        <v>2823</v>
      </c>
      <c r="H17" s="8">
        <v>2818.7</v>
      </c>
      <c r="I17" s="8">
        <v>2812.8</v>
      </c>
      <c r="J17" s="8">
        <v>2802.2</v>
      </c>
      <c r="K17" s="8">
        <v>2790.3</v>
      </c>
      <c r="L17" s="8">
        <v>2783.4</v>
      </c>
      <c r="M17" s="8">
        <v>2776.2</v>
      </c>
      <c r="N17" s="8">
        <v>2762.5</v>
      </c>
      <c r="O17" s="8">
        <v>2750.2</v>
      </c>
      <c r="P17" s="8">
        <v>2735</v>
      </c>
      <c r="Q17" s="8">
        <v>2715.6</v>
      </c>
      <c r="R17" s="8">
        <v>2683.1</v>
      </c>
      <c r="S17" s="8">
        <v>2655.5</v>
      </c>
      <c r="T17" s="8">
        <v>2626.1</v>
      </c>
      <c r="U17" s="8">
        <v>2601.1999999999998</v>
      </c>
      <c r="V17" s="8">
        <v>2566.3000000000002</v>
      </c>
      <c r="W17" s="8">
        <v>2529.6999999999998</v>
      </c>
      <c r="X17" s="8">
        <v>2505.1999999999998</v>
      </c>
      <c r="Y17" s="8">
        <v>2484.4</v>
      </c>
      <c r="Z17" s="8">
        <v>2459.6</v>
      </c>
      <c r="AA17" s="8">
        <v>2443.1</v>
      </c>
      <c r="AB17" s="8">
        <v>2421</v>
      </c>
      <c r="AC17" s="8">
        <v>2395.4</v>
      </c>
      <c r="AD17" s="8">
        <v>2368.3000000000002</v>
      </c>
      <c r="AE17" s="8">
        <v>2336.1</v>
      </c>
      <c r="AF17" s="8">
        <v>2305.9</v>
      </c>
      <c r="AG17" s="8">
        <v>2282.6999999999998</v>
      </c>
      <c r="AH17" s="8">
        <v>2264.1</v>
      </c>
      <c r="AI17" s="8">
        <v>2243.6999999999998</v>
      </c>
      <c r="AJ17" s="8">
        <v>2221.1999999999998</v>
      </c>
      <c r="AK17" s="8">
        <v>2202.1</v>
      </c>
      <c r="AL17" s="8">
        <v>2184.6</v>
      </c>
      <c r="AM17" s="8">
        <v>2163.4</v>
      </c>
      <c r="AN17" s="8">
        <v>2144.3000000000002</v>
      </c>
      <c r="AO17" s="8">
        <v>2124.4</v>
      </c>
      <c r="AP17" s="8">
        <v>2095.5</v>
      </c>
      <c r="AQ17" s="8">
        <v>2071.6</v>
      </c>
      <c r="AR17" s="8">
        <v>2047.9</v>
      </c>
      <c r="AS17" s="8">
        <v>2024.8</v>
      </c>
      <c r="AT17" s="8">
        <v>2002.3</v>
      </c>
      <c r="AU17" s="8">
        <v>1978.1</v>
      </c>
      <c r="AV17" s="8">
        <v>1957.2</v>
      </c>
      <c r="AW17" s="8"/>
    </row>
    <row r="18" spans="1:49" ht="20" thickBot="1" x14ac:dyDescent="0.3">
      <c r="A18" s="10" t="s">
        <v>143</v>
      </c>
      <c r="B18" s="13">
        <f>SUM(B15:B17)</f>
        <v>27278.900000000005</v>
      </c>
      <c r="C18" s="13">
        <f t="shared" ref="C18:AV18" si="2">SUM(C15:C17)</f>
        <v>27130.899999999998</v>
      </c>
      <c r="D18" s="13">
        <f t="shared" si="2"/>
        <v>26857.399999999998</v>
      </c>
      <c r="E18" s="13">
        <f t="shared" si="2"/>
        <v>26753.499999999996</v>
      </c>
      <c r="F18" s="13">
        <f t="shared" si="2"/>
        <v>26615.4</v>
      </c>
      <c r="G18" s="13">
        <f t="shared" si="2"/>
        <v>26509.1</v>
      </c>
      <c r="H18" s="13">
        <f t="shared" si="2"/>
        <v>26478.799999999999</v>
      </c>
      <c r="I18" s="13">
        <f t="shared" si="2"/>
        <v>26457.1</v>
      </c>
      <c r="J18" s="13">
        <f t="shared" si="2"/>
        <v>26447.599999999999</v>
      </c>
      <c r="K18" s="13">
        <f t="shared" si="2"/>
        <v>26461.9</v>
      </c>
      <c r="L18" s="13">
        <f t="shared" si="2"/>
        <v>26452.600000000006</v>
      </c>
      <c r="M18" s="13">
        <f t="shared" si="2"/>
        <v>26483.100000000002</v>
      </c>
      <c r="N18" s="13">
        <f t="shared" si="2"/>
        <v>26540.899999999998</v>
      </c>
      <c r="O18" s="13">
        <f t="shared" si="2"/>
        <v>26592.800000000003</v>
      </c>
      <c r="P18" s="13">
        <f t="shared" si="2"/>
        <v>26556.799999999999</v>
      </c>
      <c r="Q18" s="13">
        <f t="shared" si="2"/>
        <v>26581.499999999996</v>
      </c>
      <c r="R18" s="13">
        <f t="shared" si="2"/>
        <v>26492.199999999997</v>
      </c>
      <c r="S18" s="13">
        <f t="shared" si="2"/>
        <v>26379.3</v>
      </c>
      <c r="T18" s="13">
        <f t="shared" si="2"/>
        <v>26206.600000000002</v>
      </c>
      <c r="U18" s="13">
        <f t="shared" si="2"/>
        <v>26019.500000000004</v>
      </c>
      <c r="V18" s="13">
        <f t="shared" si="2"/>
        <v>25654.2</v>
      </c>
      <c r="W18" s="13">
        <f t="shared" si="2"/>
        <v>25214.000000000004</v>
      </c>
      <c r="X18" s="13">
        <f t="shared" si="2"/>
        <v>24994.200000000004</v>
      </c>
      <c r="Y18" s="13">
        <f t="shared" si="2"/>
        <v>24719.9</v>
      </c>
      <c r="Z18" s="13">
        <f t="shared" si="2"/>
        <v>24689.599999999999</v>
      </c>
      <c r="AA18" s="13">
        <f t="shared" si="2"/>
        <v>24593.9</v>
      </c>
      <c r="AB18" s="13">
        <f t="shared" si="2"/>
        <v>24432.100000000002</v>
      </c>
      <c r="AC18" s="13">
        <f t="shared" si="2"/>
        <v>24283.200000000004</v>
      </c>
      <c r="AD18" s="13">
        <f t="shared" si="2"/>
        <v>24078.6</v>
      </c>
      <c r="AE18" s="13">
        <f t="shared" si="2"/>
        <v>23772.499999999996</v>
      </c>
      <c r="AF18" s="13">
        <f t="shared" si="2"/>
        <v>23569.3</v>
      </c>
      <c r="AG18" s="13">
        <f t="shared" si="2"/>
        <v>23171.7</v>
      </c>
      <c r="AH18" s="13">
        <f t="shared" si="2"/>
        <v>22889.200000000001</v>
      </c>
      <c r="AI18" s="13">
        <f t="shared" si="2"/>
        <v>22821.600000000002</v>
      </c>
      <c r="AJ18" s="13">
        <f t="shared" si="2"/>
        <v>22549.699999999997</v>
      </c>
      <c r="AK18" s="13">
        <f t="shared" si="2"/>
        <v>22362.1</v>
      </c>
      <c r="AL18" s="13">
        <f t="shared" si="2"/>
        <v>22320.399999999998</v>
      </c>
      <c r="AM18" s="13">
        <f t="shared" si="2"/>
        <v>22201.4</v>
      </c>
      <c r="AN18" s="13">
        <f t="shared" si="2"/>
        <v>22080.400000000001</v>
      </c>
      <c r="AO18" s="13">
        <f t="shared" si="2"/>
        <v>21935.9</v>
      </c>
      <c r="AP18" s="13">
        <f t="shared" si="2"/>
        <v>21813.200000000001</v>
      </c>
      <c r="AQ18" s="13">
        <f t="shared" si="2"/>
        <v>21628.1</v>
      </c>
      <c r="AR18" s="13">
        <f t="shared" si="2"/>
        <v>21453.4</v>
      </c>
      <c r="AS18" s="13">
        <f t="shared" si="2"/>
        <v>21305.7</v>
      </c>
      <c r="AT18" s="13">
        <f t="shared" si="2"/>
        <v>21060.399999999998</v>
      </c>
      <c r="AU18" s="13">
        <f t="shared" si="2"/>
        <v>20749.899999999998</v>
      </c>
      <c r="AV18" s="13">
        <f t="shared" si="2"/>
        <v>20537</v>
      </c>
      <c r="AW18" s="8"/>
    </row>
    <row r="19" spans="1:49" ht="20" thickTop="1" x14ac:dyDescent="0.25">
      <c r="A19" s="11"/>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row>
    <row r="20" spans="1:49" x14ac:dyDescent="0.25">
      <c r="A20" s="10" t="s">
        <v>163</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row>
    <row r="21" spans="1:49" x14ac:dyDescent="0.25">
      <c r="A21" s="11" t="s">
        <v>135</v>
      </c>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row>
    <row r="22" spans="1:49" x14ac:dyDescent="0.25">
      <c r="A22" s="11" t="s">
        <v>136</v>
      </c>
      <c r="B22" s="15">
        <f>(B11/C11)-1</f>
        <v>7.0592219226612851E-3</v>
      </c>
      <c r="C22" s="15">
        <f t="shared" ref="B22:C29" si="3">(C11/D11)-1</f>
        <v>1.021012328460702E-2</v>
      </c>
      <c r="D22" s="15">
        <f t="shared" ref="D22:AU22" si="4">(D11/E11)-1</f>
        <v>-7.4940836181958126E-4</v>
      </c>
      <c r="E22" s="15">
        <f t="shared" si="4"/>
        <v>8.2898009131948669E-4</v>
      </c>
      <c r="F22" s="15">
        <f t="shared" si="4"/>
        <v>-2.5985957083798361E-3</v>
      </c>
      <c r="G22" s="15">
        <f t="shared" si="4"/>
        <v>-5.1443418767708193E-3</v>
      </c>
      <c r="H22" s="15">
        <f t="shared" si="4"/>
        <v>-5.6346805499656316E-3</v>
      </c>
      <c r="I22" s="15">
        <f t="shared" si="4"/>
        <v>-7.2308723448133438E-3</v>
      </c>
      <c r="J22" s="15">
        <f t="shared" si="4"/>
        <v>-6.0469406579892748E-3</v>
      </c>
      <c r="K22" s="15">
        <f t="shared" si="4"/>
        <v>-3.561626348375535E-3</v>
      </c>
      <c r="L22" s="15">
        <f t="shared" si="4"/>
        <v>-5.7748445234167001E-3</v>
      </c>
      <c r="M22" s="15">
        <f t="shared" si="4"/>
        <v>-5.4153675254673406E-3</v>
      </c>
      <c r="N22" s="15">
        <f t="shared" si="4"/>
        <v>-4.9239426712389678E-3</v>
      </c>
      <c r="O22" s="15">
        <f t="shared" si="4"/>
        <v>-1.5676733219625039E-3</v>
      </c>
      <c r="P22" s="15">
        <f t="shared" si="4"/>
        <v>-4.9542635368698962E-3</v>
      </c>
      <c r="Q22" s="15">
        <f t="shared" si="4"/>
        <v>-1.1230066631728874E-4</v>
      </c>
      <c r="R22" s="15">
        <f t="shared" si="4"/>
        <v>0</v>
      </c>
      <c r="S22" s="15">
        <f t="shared" si="4"/>
        <v>3.4934825889334498E-3</v>
      </c>
      <c r="T22" s="15">
        <f t="shared" si="4"/>
        <v>4.3386403078549129E-3</v>
      </c>
      <c r="U22" s="15">
        <f t="shared" si="4"/>
        <v>1.1229096458320154E-2</v>
      </c>
      <c r="V22" s="15">
        <f t="shared" si="4"/>
        <v>1.4304878363387674E-2</v>
      </c>
      <c r="W22" s="15">
        <f t="shared" si="4"/>
        <v>7.2628529109879381E-3</v>
      </c>
      <c r="X22" s="15">
        <f t="shared" si="4"/>
        <v>1.0463437048706892E-2</v>
      </c>
      <c r="Y22" s="15">
        <f t="shared" si="4"/>
        <v>1.1817071729613993E-4</v>
      </c>
      <c r="Z22" s="15">
        <f t="shared" si="4"/>
        <v>4.3120500039561804E-3</v>
      </c>
      <c r="AA22" s="15">
        <f t="shared" si="4"/>
        <v>7.4796402332901746E-3</v>
      </c>
      <c r="AB22" s="15">
        <f t="shared" si="4"/>
        <v>5.3559503138773668E-3</v>
      </c>
      <c r="AC22" s="15">
        <f t="shared" si="4"/>
        <v>6.9397745918176046E-3</v>
      </c>
      <c r="AD22" s="15">
        <f t="shared" si="4"/>
        <v>9.9015280135823502E-3</v>
      </c>
      <c r="AE22" s="15">
        <f t="shared" si="4"/>
        <v>3.5165673940600328E-3</v>
      </c>
      <c r="AF22" s="15">
        <f t="shared" si="4"/>
        <v>1.3762418648353592E-2</v>
      </c>
      <c r="AG22" s="15">
        <f t="shared" si="4"/>
        <v>1.0119197163833249E-2</v>
      </c>
      <c r="AH22" s="15">
        <f t="shared" si="4"/>
        <v>2.3083057036135113E-3</v>
      </c>
      <c r="AI22" s="15">
        <f t="shared" si="4"/>
        <v>1.2407053324835493E-2</v>
      </c>
      <c r="AJ22" s="15">
        <f t="shared" si="4"/>
        <v>9.4648499492444582E-3</v>
      </c>
      <c r="AK22" s="15">
        <f t="shared" si="4"/>
        <v>1.1307683499370835E-3</v>
      </c>
      <c r="AL22" s="15">
        <f t="shared" si="4"/>
        <v>5.251874127685241E-3</v>
      </c>
      <c r="AM22" s="15">
        <f t="shared" si="4"/>
        <v>6.6774819664532359E-3</v>
      </c>
      <c r="AN22" s="15">
        <f t="shared" si="4"/>
        <v>6.0328747959899065E-3</v>
      </c>
      <c r="AO22" s="15">
        <f t="shared" si="4"/>
        <v>4.33204542793586E-3</v>
      </c>
      <c r="AP22" s="15">
        <f t="shared" si="4"/>
        <v>7.2379379984375269E-3</v>
      </c>
      <c r="AQ22" s="15">
        <f t="shared" si="4"/>
        <v>7.6198681005288371E-3</v>
      </c>
      <c r="AR22" s="15">
        <f t="shared" si="4"/>
        <v>6.7591817203014326E-3</v>
      </c>
      <c r="AS22" s="15">
        <f t="shared" si="4"/>
        <v>1.1817040141622881E-2</v>
      </c>
      <c r="AT22" s="15">
        <f t="shared" si="4"/>
        <v>1.7191491981408014E-2</v>
      </c>
      <c r="AU22" s="15">
        <f t="shared" si="4"/>
        <v>1.3081780619006667E-2</v>
      </c>
      <c r="AV22" s="8"/>
      <c r="AW22" s="8"/>
    </row>
    <row r="23" spans="1:49" x14ac:dyDescent="0.25">
      <c r="A23" s="11" t="s">
        <v>137</v>
      </c>
      <c r="B23" s="16">
        <f t="shared" si="3"/>
        <v>9.3576605848537664E-3</v>
      </c>
      <c r="C23" s="16">
        <f t="shared" si="3"/>
        <v>1.8190516907917509E-2</v>
      </c>
      <c r="D23" s="16">
        <f t="shared" ref="D23:AU23" si="5">(D12/E12)-1</f>
        <v>9.6091590187352693E-3</v>
      </c>
      <c r="E23" s="16">
        <f t="shared" si="5"/>
        <v>1.0079724286841119E-2</v>
      </c>
      <c r="F23" s="16">
        <f t="shared" si="5"/>
        <v>7.9732133514702763E-3</v>
      </c>
      <c r="G23" s="16">
        <f t="shared" si="5"/>
        <v>1.6664745155170468E-3</v>
      </c>
      <c r="H23" s="16">
        <f t="shared" si="5"/>
        <v>3.5648007381228197E-4</v>
      </c>
      <c r="I23" s="16">
        <f t="shared" si="5"/>
        <v>-3.7730707555561072E-4</v>
      </c>
      <c r="J23" s="16">
        <f t="shared" si="5"/>
        <v>-1.8307737372892374E-3</v>
      </c>
      <c r="K23" s="16">
        <f t="shared" si="5"/>
        <v>2.720746740334512E-4</v>
      </c>
      <c r="L23" s="16">
        <f t="shared" si="5"/>
        <v>-1.2541543864049709E-3</v>
      </c>
      <c r="M23" s="16">
        <f t="shared" si="5"/>
        <v>-3.3955503708023027E-3</v>
      </c>
      <c r="N23" s="16">
        <f t="shared" si="5"/>
        <v>-2.8561636010511204E-3</v>
      </c>
      <c r="O23" s="16">
        <f t="shared" si="5"/>
        <v>1.5811756873431726E-3</v>
      </c>
      <c r="P23" s="16">
        <f t="shared" si="5"/>
        <v>-2.5835235526042721E-3</v>
      </c>
      <c r="Q23" s="16">
        <f t="shared" si="5"/>
        <v>2.4025210870628477E-3</v>
      </c>
      <c r="R23" s="16">
        <f t="shared" si="5"/>
        <v>3.5068310145804915E-3</v>
      </c>
      <c r="S23" s="16">
        <f t="shared" si="5"/>
        <v>4.6345325098824386E-3</v>
      </c>
      <c r="T23" s="16">
        <f t="shared" si="5"/>
        <v>6.1717975228410271E-3</v>
      </c>
      <c r="U23" s="16">
        <f t="shared" si="5"/>
        <v>1.49698034008654E-2</v>
      </c>
      <c r="V23" s="16">
        <f t="shared" si="5"/>
        <v>2.2612047348422593E-2</v>
      </c>
      <c r="W23" s="16">
        <f t="shared" si="5"/>
        <v>1.2147139991355083E-2</v>
      </c>
      <c r="X23" s="16">
        <f t="shared" si="5"/>
        <v>1.5909653883396935E-2</v>
      </c>
      <c r="Y23" s="16">
        <f t="shared" si="5"/>
        <v>3.3779599373895408E-5</v>
      </c>
      <c r="Z23" s="16">
        <f t="shared" si="5"/>
        <v>4.6379565842016302E-3</v>
      </c>
      <c r="AA23" s="16">
        <f t="shared" si="5"/>
        <v>7.4991737232601441E-3</v>
      </c>
      <c r="AB23" s="16">
        <f t="shared" si="5"/>
        <v>6.8852346143695176E-3</v>
      </c>
      <c r="AC23" s="16">
        <f t="shared" si="5"/>
        <v>9.253682942647945E-3</v>
      </c>
      <c r="AD23" s="16">
        <f t="shared" si="5"/>
        <v>1.4904320842540786E-2</v>
      </c>
      <c r="AE23" s="16">
        <f t="shared" si="5"/>
        <v>8.6787441904581097E-3</v>
      </c>
      <c r="AF23" s="16">
        <f t="shared" si="5"/>
        <v>1.9977748754413938E-2</v>
      </c>
      <c r="AG23" s="16">
        <f t="shared" si="5"/>
        <v>1.7584878727096021E-2</v>
      </c>
      <c r="AH23" s="16">
        <f t="shared" si="5"/>
        <v>3.8541833948930737E-3</v>
      </c>
      <c r="AI23" s="16">
        <f t="shared" si="5"/>
        <v>1.7317431792190918E-2</v>
      </c>
      <c r="AJ23" s="16">
        <f t="shared" si="5"/>
        <v>1.1542617428335289E-2</v>
      </c>
      <c r="AK23" s="16">
        <f t="shared" si="5"/>
        <v>3.2265469570984529E-3</v>
      </c>
      <c r="AL23" s="16">
        <f t="shared" si="5"/>
        <v>8.5923029429924025E-3</v>
      </c>
      <c r="AM23" s="16">
        <f t="shared" si="5"/>
        <v>7.5686884396060083E-3</v>
      </c>
      <c r="AN23" s="16">
        <f t="shared" si="5"/>
        <v>9.6965414360303814E-3</v>
      </c>
      <c r="AO23" s="16">
        <f t="shared" si="5"/>
        <v>5.619012527634526E-3</v>
      </c>
      <c r="AP23" s="16">
        <f t="shared" si="5"/>
        <v>9.4043887147334804E-3</v>
      </c>
      <c r="AQ23" s="16">
        <f t="shared" si="5"/>
        <v>8.155339805825168E-3</v>
      </c>
      <c r="AR23" s="16">
        <f t="shared" si="5"/>
        <v>5.3447858046797858E-3</v>
      </c>
      <c r="AS23" s="16">
        <f t="shared" si="5"/>
        <v>1.2610254522650743E-2</v>
      </c>
      <c r="AT23" s="16">
        <f t="shared" si="5"/>
        <v>2.0222812556502934E-2</v>
      </c>
      <c r="AU23" s="16">
        <f t="shared" si="5"/>
        <v>1.4576806931391628E-2</v>
      </c>
      <c r="AV23" s="8"/>
      <c r="AW23" s="8"/>
    </row>
    <row r="24" spans="1:49" x14ac:dyDescent="0.25">
      <c r="A24" s="11" t="s">
        <v>138</v>
      </c>
      <c r="B24" s="15">
        <f t="shared" si="3"/>
        <v>8.3595393769371196E-3</v>
      </c>
      <c r="C24" s="15">
        <f t="shared" si="3"/>
        <v>1.4709511538616216E-2</v>
      </c>
      <c r="D24" s="15">
        <f t="shared" ref="D24:AU24" si="6">(D13/E13)-1</f>
        <v>5.0645178036836658E-3</v>
      </c>
      <c r="E24" s="15">
        <f t="shared" si="6"/>
        <v>6.0001508741998055E-3</v>
      </c>
      <c r="F24" s="15">
        <f t="shared" si="6"/>
        <v>3.2835560213082537E-3</v>
      </c>
      <c r="G24" s="15">
        <f t="shared" si="6"/>
        <v>-1.3662790697674954E-3</v>
      </c>
      <c r="H24" s="15">
        <f t="shared" si="6"/>
        <v>-2.3201856148491462E-3</v>
      </c>
      <c r="I24" s="15">
        <f t="shared" si="6"/>
        <v>-3.4509268946858462E-3</v>
      </c>
      <c r="J24" s="15">
        <f t="shared" si="6"/>
        <v>-3.7260141438808514E-3</v>
      </c>
      <c r="K24" s="15">
        <f t="shared" si="6"/>
        <v>-1.4548842130686079E-3</v>
      </c>
      <c r="L24" s="15">
        <f t="shared" si="6"/>
        <v>-3.2956577559722922E-3</v>
      </c>
      <c r="M24" s="15">
        <f t="shared" si="6"/>
        <v>-4.3086967191127146E-3</v>
      </c>
      <c r="N24" s="15">
        <f t="shared" si="6"/>
        <v>-3.7920565795310779E-3</v>
      </c>
      <c r="O24" s="15">
        <f t="shared" si="6"/>
        <v>1.5352510704125244E-4</v>
      </c>
      <c r="P24" s="15">
        <f t="shared" si="6"/>
        <v>-3.6597870978340996E-3</v>
      </c>
      <c r="Q24" s="15">
        <f t="shared" si="6"/>
        <v>1.2592815288359205E-3</v>
      </c>
      <c r="R24" s="15">
        <f t="shared" si="6"/>
        <v>1.9095791537608875E-3</v>
      </c>
      <c r="S24" s="15">
        <f t="shared" si="6"/>
        <v>4.1144983279499669E-3</v>
      </c>
      <c r="T24" s="15">
        <f t="shared" si="6"/>
        <v>5.3355057829997943E-3</v>
      </c>
      <c r="U24" s="15">
        <f t="shared" si="6"/>
        <v>1.3259854786860092E-2</v>
      </c>
      <c r="V24" s="15">
        <f t="shared" si="6"/>
        <v>1.8797860810546574E-2</v>
      </c>
      <c r="W24" s="15">
        <f t="shared" si="6"/>
        <v>9.8986805746617001E-3</v>
      </c>
      <c r="X24" s="15">
        <f t="shared" si="6"/>
        <v>1.3395238326140646E-2</v>
      </c>
      <c r="Y24" s="15">
        <f t="shared" si="6"/>
        <v>7.2739616419736919E-5</v>
      </c>
      <c r="Z24" s="15">
        <f t="shared" si="6"/>
        <v>4.4874722196852623E-3</v>
      </c>
      <c r="AA24" s="15">
        <f t="shared" si="6"/>
        <v>7.4901542198830828E-3</v>
      </c>
      <c r="AB24" s="15">
        <f t="shared" si="6"/>
        <v>6.1785165387961971E-3</v>
      </c>
      <c r="AC24" s="15">
        <f t="shared" si="6"/>
        <v>8.1830514381013852E-3</v>
      </c>
      <c r="AD24" s="15">
        <f t="shared" si="6"/>
        <v>1.2583411572705927E-2</v>
      </c>
      <c r="AE24" s="15">
        <f t="shared" si="6"/>
        <v>6.2773046902246943E-3</v>
      </c>
      <c r="AF24" s="15">
        <f t="shared" si="6"/>
        <v>1.7076930021990844E-2</v>
      </c>
      <c r="AG24" s="15">
        <f t="shared" si="6"/>
        <v>1.408680980190824E-2</v>
      </c>
      <c r="AH24" s="15">
        <f t="shared" si="6"/>
        <v>3.1292641964941748E-3</v>
      </c>
      <c r="AI24" s="15">
        <f t="shared" si="6"/>
        <v>1.5008856157360029E-2</v>
      </c>
      <c r="AJ24" s="15">
        <f t="shared" si="6"/>
        <v>1.0564707149009367E-2</v>
      </c>
      <c r="AK24" s="15">
        <f t="shared" si="6"/>
        <v>2.2390676845882584E-3</v>
      </c>
      <c r="AL24" s="15">
        <f t="shared" si="6"/>
        <v>7.015613645470431E-3</v>
      </c>
      <c r="AM24" s="15">
        <f t="shared" si="6"/>
        <v>7.1478405997345007E-3</v>
      </c>
      <c r="AN24" s="15">
        <f t="shared" si="6"/>
        <v>7.9631557538109021E-3</v>
      </c>
      <c r="AO24" s="15">
        <f t="shared" si="6"/>
        <v>5.0097006651883547E-3</v>
      </c>
      <c r="AP24" s="15">
        <f t="shared" si="6"/>
        <v>8.3775267081700466E-3</v>
      </c>
      <c r="AQ24" s="15">
        <f t="shared" si="6"/>
        <v>7.9014640948174009E-3</v>
      </c>
      <c r="AR24" s="15">
        <f t="shared" si="6"/>
        <v>6.0148777895854266E-3</v>
      </c>
      <c r="AS24" s="15">
        <f t="shared" si="6"/>
        <v>1.2234301941998149E-2</v>
      </c>
      <c r="AT24" s="15">
        <f t="shared" si="6"/>
        <v>1.8783836110847441E-2</v>
      </c>
      <c r="AU24" s="15">
        <f t="shared" si="6"/>
        <v>1.3866563951377975E-2</v>
      </c>
      <c r="AV24" s="8"/>
      <c r="AW24" s="8"/>
    </row>
    <row r="25" spans="1:49" x14ac:dyDescent="0.25">
      <c r="A25" s="11" t="s">
        <v>139</v>
      </c>
      <c r="B25" s="16">
        <f t="shared" si="3"/>
        <v>-7.1889434050431689E-4</v>
      </c>
      <c r="C25" s="16">
        <f t="shared" si="3"/>
        <v>1.0975170924794053E-3</v>
      </c>
      <c r="D25" s="16">
        <f t="shared" ref="D25:AU25" si="7">(D14/E14)-1</f>
        <v>1.6399646776839027E-3</v>
      </c>
      <c r="E25" s="16">
        <f t="shared" si="7"/>
        <v>4.3257918552035424E-3</v>
      </c>
      <c r="F25" s="16">
        <f t="shared" si="7"/>
        <v>7.2926162260711358E-3</v>
      </c>
      <c r="G25" s="16">
        <f t="shared" si="7"/>
        <v>8.1238053227465912E-3</v>
      </c>
      <c r="H25" s="16">
        <f t="shared" si="7"/>
        <v>9.0504451038575517E-3</v>
      </c>
      <c r="I25" s="16">
        <f t="shared" si="7"/>
        <v>8.6234310406105852E-3</v>
      </c>
      <c r="J25" s="16">
        <f t="shared" si="7"/>
        <v>5.2463332079728531E-3</v>
      </c>
      <c r="K25" s="16">
        <f t="shared" si="7"/>
        <v>3.4719601479356044E-3</v>
      </c>
      <c r="L25" s="16">
        <f t="shared" si="7"/>
        <v>2.0988938262267443E-3</v>
      </c>
      <c r="M25" s="16">
        <f t="shared" si="7"/>
        <v>3.0263481435244266E-4</v>
      </c>
      <c r="N25" s="16">
        <f t="shared" si="7"/>
        <v>-3.7815046607048153E-4</v>
      </c>
      <c r="O25" s="16">
        <f t="shared" si="7"/>
        <v>1.2305012872937393E-3</v>
      </c>
      <c r="P25" s="16">
        <f t="shared" si="7"/>
        <v>1.8776671408249346E-3</v>
      </c>
      <c r="Q25" s="16">
        <f t="shared" si="7"/>
        <v>4.3048439017887574E-3</v>
      </c>
      <c r="R25" s="16">
        <f t="shared" si="7"/>
        <v>7.3296621064142808E-3</v>
      </c>
      <c r="S25" s="16">
        <f t="shared" si="7"/>
        <v>9.2956600886962004E-3</v>
      </c>
      <c r="T25" s="16">
        <f t="shared" si="7"/>
        <v>1.1161807037812999E-2</v>
      </c>
      <c r="U25" s="16">
        <f t="shared" si="7"/>
        <v>1.5915013826168334E-2</v>
      </c>
      <c r="V25" s="16">
        <f t="shared" si="7"/>
        <v>1.3979101948602191E-2</v>
      </c>
      <c r="W25" s="16">
        <f t="shared" si="7"/>
        <v>4.2948016693002966E-3</v>
      </c>
      <c r="X25" s="16">
        <f t="shared" si="7"/>
        <v>4.2928933287216253E-3</v>
      </c>
      <c r="Y25" s="16">
        <f t="shared" si="7"/>
        <v>3.4599259168821561E-4</v>
      </c>
      <c r="Z25" s="16">
        <f t="shared" si="7"/>
        <v>3.053808098698596E-4</v>
      </c>
      <c r="AA25" s="16">
        <f t="shared" si="7"/>
        <v>1.2434261486402587E-3</v>
      </c>
      <c r="AB25" s="16">
        <f t="shared" si="7"/>
        <v>3.0054588947270311E-3</v>
      </c>
      <c r="AC25" s="16">
        <f t="shared" si="7"/>
        <v>7.4771360303205192E-3</v>
      </c>
      <c r="AD25" s="16">
        <f t="shared" si="7"/>
        <v>1.3422398497025423E-2</v>
      </c>
      <c r="AE25" s="16">
        <f t="shared" si="7"/>
        <v>1.5861908094238375E-2</v>
      </c>
      <c r="AF25" s="16">
        <f t="shared" si="7"/>
        <v>2.1134232693098776E-2</v>
      </c>
      <c r="AG25" s="16">
        <f t="shared" si="7"/>
        <v>9.5310962946770772E-3</v>
      </c>
      <c r="AH25" s="16">
        <f t="shared" si="7"/>
        <v>8.3138250158620863E-4</v>
      </c>
      <c r="AI25" s="16">
        <f t="shared" si="7"/>
        <v>3.6891455675356344E-3</v>
      </c>
      <c r="AJ25" s="16">
        <f t="shared" si="7"/>
        <v>1.3413078851312044E-3</v>
      </c>
      <c r="AK25" s="16">
        <f t="shared" si="7"/>
        <v>-1.4491480765851383E-3</v>
      </c>
      <c r="AL25" s="16">
        <f t="shared" si="7"/>
        <v>-1.4032625855114889E-3</v>
      </c>
      <c r="AM25" s="16">
        <f t="shared" si="7"/>
        <v>-1.4887468254664027E-3</v>
      </c>
      <c r="AN25" s="16">
        <f t="shared" si="7"/>
        <v>1.0958663919695688E-3</v>
      </c>
      <c r="AO25" s="16">
        <f t="shared" si="7"/>
        <v>3.828214380005468E-3</v>
      </c>
      <c r="AP25" s="16">
        <f t="shared" si="7"/>
        <v>7.7601880182696092E-3</v>
      </c>
      <c r="AQ25" s="16">
        <f t="shared" si="7"/>
        <v>7.3256800821905887E-3</v>
      </c>
      <c r="AR25" s="16">
        <f t="shared" si="7"/>
        <v>7.4704108725980323E-3</v>
      </c>
      <c r="AS25" s="16">
        <f t="shared" si="7"/>
        <v>9.5636173644395583E-3</v>
      </c>
      <c r="AT25" s="16">
        <f t="shared" si="7"/>
        <v>4.8850640308628623E-3</v>
      </c>
      <c r="AU25" s="16">
        <f t="shared" si="7"/>
        <v>2.9684431657317489E-4</v>
      </c>
      <c r="AV25" s="8"/>
      <c r="AW25" s="8"/>
    </row>
    <row r="26" spans="1:49" x14ac:dyDescent="0.25">
      <c r="A26" s="11" t="s">
        <v>140</v>
      </c>
      <c r="B26" s="15">
        <f t="shared" si="3"/>
        <v>6.1864096883135211E-3</v>
      </c>
      <c r="C26" s="15">
        <f t="shared" si="3"/>
        <v>1.141758150908756E-2</v>
      </c>
      <c r="D26" s="15">
        <f t="shared" ref="D26:AU26" si="8">(D15/E15)-1</f>
        <v>4.2341775470611243E-3</v>
      </c>
      <c r="E26" s="15">
        <f t="shared" si="8"/>
        <v>5.5936619811141064E-3</v>
      </c>
      <c r="F26" s="15">
        <f t="shared" si="8"/>
        <v>4.2539108179071583E-3</v>
      </c>
      <c r="G26" s="15">
        <f t="shared" si="8"/>
        <v>9.1427864739768161E-4</v>
      </c>
      <c r="H26" s="15">
        <f t="shared" si="8"/>
        <v>3.8882997525613305E-4</v>
      </c>
      <c r="I26" s="15">
        <f t="shared" si="8"/>
        <v>-6.0055816582460508E-4</v>
      </c>
      <c r="J26" s="15">
        <f t="shared" si="8"/>
        <v>-1.6224032730224325E-3</v>
      </c>
      <c r="K26" s="15">
        <f t="shared" si="8"/>
        <v>-3.0410810381997777E-4</v>
      </c>
      <c r="L26" s="15">
        <f t="shared" si="8"/>
        <v>-2.0408432553208344E-3</v>
      </c>
      <c r="M26" s="15">
        <f t="shared" si="8"/>
        <v>-3.2398639169471943E-3</v>
      </c>
      <c r="N26" s="15">
        <f t="shared" si="8"/>
        <v>-3.0028454911424918E-3</v>
      </c>
      <c r="O26" s="15">
        <f t="shared" si="8"/>
        <v>4.0228955227816776E-4</v>
      </c>
      <c r="P26" s="15">
        <f t="shared" si="8"/>
        <v>-2.3861663424039614E-3</v>
      </c>
      <c r="Q26" s="15">
        <f t="shared" si="8"/>
        <v>1.9581275405393672E-3</v>
      </c>
      <c r="R26" s="15">
        <f t="shared" si="8"/>
        <v>3.1481286611245718E-3</v>
      </c>
      <c r="S26" s="15">
        <f t="shared" si="8"/>
        <v>5.2937572453066739E-3</v>
      </c>
      <c r="T26" s="15">
        <f t="shared" si="8"/>
        <v>6.6556921697999982E-3</v>
      </c>
      <c r="U26" s="15">
        <f t="shared" si="8"/>
        <v>1.3860272616851965E-2</v>
      </c>
      <c r="V26" s="15">
        <f t="shared" si="8"/>
        <v>1.7704179504905548E-2</v>
      </c>
      <c r="W26" s="15">
        <f t="shared" si="8"/>
        <v>8.6213265852712606E-3</v>
      </c>
      <c r="X26" s="15">
        <f t="shared" si="8"/>
        <v>1.1305951852803142E-2</v>
      </c>
      <c r="Y26" s="15">
        <f t="shared" si="8"/>
        <v>1.3544692815714576E-4</v>
      </c>
      <c r="Z26" s="15">
        <f t="shared" si="8"/>
        <v>3.5246585487029858E-3</v>
      </c>
      <c r="AA26" s="15">
        <f t="shared" si="8"/>
        <v>6.0451167528010608E-3</v>
      </c>
      <c r="AB26" s="15">
        <f t="shared" si="8"/>
        <v>5.4427187043675218E-3</v>
      </c>
      <c r="AC26" s="15">
        <f t="shared" si="8"/>
        <v>8.0192691855520692E-3</v>
      </c>
      <c r="AD26" s="15">
        <f t="shared" si="8"/>
        <v>1.2777944493383542E-2</v>
      </c>
      <c r="AE26" s="15">
        <f t="shared" si="8"/>
        <v>8.4835113341272805E-3</v>
      </c>
      <c r="AF26" s="15">
        <f t="shared" si="8"/>
        <v>1.8007990300331844E-2</v>
      </c>
      <c r="AG26" s="15">
        <f t="shared" si="8"/>
        <v>1.3037744017236008E-2</v>
      </c>
      <c r="AH26" s="15">
        <f t="shared" si="8"/>
        <v>2.5991854203362141E-3</v>
      </c>
      <c r="AI26" s="15">
        <f t="shared" si="8"/>
        <v>1.2375010857513802E-2</v>
      </c>
      <c r="AJ26" s="15">
        <f t="shared" si="8"/>
        <v>8.4034912358439406E-3</v>
      </c>
      <c r="AK26" s="15">
        <f t="shared" si="8"/>
        <v>1.3724073882983578E-3</v>
      </c>
      <c r="AL26" s="15">
        <f t="shared" si="8"/>
        <v>5.0246044874022733E-3</v>
      </c>
      <c r="AM26" s="15">
        <f t="shared" si="8"/>
        <v>5.0918832150264048E-3</v>
      </c>
      <c r="AN26" s="15">
        <f t="shared" si="8"/>
        <v>6.3198527290750928E-3</v>
      </c>
      <c r="AO26" s="15">
        <f t="shared" si="8"/>
        <v>4.726724701220375E-3</v>
      </c>
      <c r="AP26" s="15">
        <f t="shared" si="8"/>
        <v>8.2295999957497923E-3</v>
      </c>
      <c r="AQ26" s="15">
        <f t="shared" si="8"/>
        <v>7.7634347577004714E-3</v>
      </c>
      <c r="AR26" s="15">
        <f t="shared" si="8"/>
        <v>6.3634208371050605E-3</v>
      </c>
      <c r="AS26" s="15">
        <f t="shared" si="8"/>
        <v>1.1593491946692902E-2</v>
      </c>
      <c r="AT26" s="15">
        <f t="shared" si="8"/>
        <v>1.5413991587336806E-2</v>
      </c>
      <c r="AU26" s="15">
        <f t="shared" si="8"/>
        <v>1.0542800413881892E-2</v>
      </c>
      <c r="AV26" s="8"/>
      <c r="AW26" s="8"/>
    </row>
    <row r="27" spans="1:49" x14ac:dyDescent="0.25">
      <c r="A27" s="11" t="s">
        <v>141</v>
      </c>
      <c r="B27" s="15">
        <f t="shared" si="3"/>
        <v>8.589425462874889E-4</v>
      </c>
      <c r="C27" s="15">
        <f t="shared" si="3"/>
        <v>7.6937872667821594E-3</v>
      </c>
      <c r="D27" s="15">
        <f t="shared" ref="D27:AU27" si="9">(D16/E16)-1</f>
        <v>3.474232773595709E-3</v>
      </c>
      <c r="E27" s="15">
        <f t="shared" si="9"/>
        <v>6.019417475728206E-3</v>
      </c>
      <c r="F27" s="15">
        <f t="shared" si="9"/>
        <v>5.2703494046457688E-3</v>
      </c>
      <c r="G27" s="15">
        <f t="shared" si="9"/>
        <v>5.1996468164425824E-3</v>
      </c>
      <c r="H27" s="15">
        <f t="shared" si="9"/>
        <v>6.9149461622048936E-3</v>
      </c>
      <c r="I27" s="15">
        <f t="shared" si="9"/>
        <v>1.2502500500100044E-2</v>
      </c>
      <c r="J27" s="15">
        <f t="shared" si="9"/>
        <v>1.0715729882733394E-2</v>
      </c>
      <c r="K27" s="15">
        <f t="shared" si="9"/>
        <v>9.4907643637105465E-3</v>
      </c>
      <c r="L27" s="15">
        <f t="shared" si="9"/>
        <v>8.9579901153211683E-3</v>
      </c>
      <c r="M27" s="15">
        <f t="shared" si="9"/>
        <v>2.4772914946327163E-3</v>
      </c>
      <c r="N27" s="15">
        <f t="shared" si="9"/>
        <v>4.6665975318884723E-3</v>
      </c>
      <c r="O27" s="15">
        <f t="shared" si="9"/>
        <v>1.2175921066442719E-2</v>
      </c>
      <c r="P27" s="15">
        <f t="shared" si="9"/>
        <v>1.1251459505360328E-2</v>
      </c>
      <c r="Q27" s="15">
        <f t="shared" si="9"/>
        <v>1.2901838511987895E-2</v>
      </c>
      <c r="R27" s="15">
        <f t="shared" si="9"/>
        <v>1.4728343879554906E-2</v>
      </c>
      <c r="S27" s="15">
        <f t="shared" si="9"/>
        <v>2.5968211327512813E-2</v>
      </c>
      <c r="T27" s="15">
        <f t="shared" si="9"/>
        <v>1.3844757149341635E-2</v>
      </c>
      <c r="U27" s="15">
        <f t="shared" si="9"/>
        <v>2.5963441611363436E-2</v>
      </c>
      <c r="V27" s="15">
        <f t="shared" si="9"/>
        <v>2.0071258907363498E-2</v>
      </c>
      <c r="W27" s="15">
        <f t="shared" si="9"/>
        <v>1.0319174466042691E-2</v>
      </c>
      <c r="X27" s="15">
        <f t="shared" si="9"/>
        <v>1.3868613138686037E-2</v>
      </c>
      <c r="Y27" s="15">
        <f t="shared" si="9"/>
        <v>3.1730534537466326E-3</v>
      </c>
      <c r="Z27" s="15">
        <f t="shared" si="9"/>
        <v>4.905567819475154E-3</v>
      </c>
      <c r="AA27" s="15">
        <f t="shared" si="9"/>
        <v>1.4305261848488682E-2</v>
      </c>
      <c r="AB27" s="15">
        <f t="shared" si="9"/>
        <v>1.0686447070656246E-2</v>
      </c>
      <c r="AC27" s="15">
        <f t="shared" si="9"/>
        <v>1.2345679012345512E-2</v>
      </c>
      <c r="AD27" s="15">
        <f t="shared" si="9"/>
        <v>1.2761020881670637E-2</v>
      </c>
      <c r="AE27" s="15">
        <f t="shared" si="9"/>
        <v>-1.0301313417461211E-3</v>
      </c>
      <c r="AF27" s="15">
        <f t="shared" si="9"/>
        <v>1.5694480774260944E-2</v>
      </c>
      <c r="AG27" s="15">
        <f t="shared" si="9"/>
        <v>6.4499144399103869E-3</v>
      </c>
      <c r="AH27" s="15">
        <f t="shared" si="9"/>
        <v>-5.6282722513087968E-3</v>
      </c>
      <c r="AI27" s="15">
        <f t="shared" si="9"/>
        <v>9.5137420718816035E-3</v>
      </c>
      <c r="AJ27" s="15">
        <f t="shared" si="9"/>
        <v>7.1865850412562438E-3</v>
      </c>
      <c r="AK27" s="15">
        <f t="shared" si="9"/>
        <v>-3.1838684001060935E-3</v>
      </c>
      <c r="AL27" s="15">
        <f t="shared" si="9"/>
        <v>1.1953778722273434E-3</v>
      </c>
      <c r="AM27" s="15">
        <f t="shared" si="9"/>
        <v>5.6097235207692719E-3</v>
      </c>
      <c r="AN27" s="15">
        <f t="shared" si="9"/>
        <v>5.5063121138867466E-3</v>
      </c>
      <c r="AO27" s="15">
        <f t="shared" si="9"/>
        <v>5.5367994598245485E-3</v>
      </c>
      <c r="AP27" s="15">
        <f t="shared" si="9"/>
        <v>8.5807681830563087E-3</v>
      </c>
      <c r="AQ27" s="15">
        <f t="shared" si="9"/>
        <v>8.2394946443284933E-3</v>
      </c>
      <c r="AR27" s="15">
        <f t="shared" si="9"/>
        <v>9.0065124012748132E-3</v>
      </c>
      <c r="AS27" s="15">
        <f t="shared" si="9"/>
        <v>1.4193367060146178E-2</v>
      </c>
      <c r="AT27" s="15">
        <f t="shared" si="9"/>
        <v>1.1082693947144229E-2</v>
      </c>
      <c r="AU27" s="15">
        <f t="shared" si="9"/>
        <v>4.9978580608309731E-3</v>
      </c>
      <c r="AV27" s="8"/>
      <c r="AW27" s="8"/>
    </row>
    <row r="28" spans="1:49" x14ac:dyDescent="0.25">
      <c r="A28" s="11" t="s">
        <v>142</v>
      </c>
      <c r="B28" s="16">
        <f t="shared" si="3"/>
        <v>1.1625449165082458E-3</v>
      </c>
      <c r="C28" s="16">
        <f t="shared" si="3"/>
        <v>1.0932816081818952E-3</v>
      </c>
      <c r="D28" s="16">
        <f t="shared" ref="D28:AU28" si="10">(D17/E17)-1</f>
        <v>1.2005225804174735E-3</v>
      </c>
      <c r="E28" s="16">
        <f t="shared" si="10"/>
        <v>1.6268788682580748E-3</v>
      </c>
      <c r="F28" s="16">
        <f t="shared" si="10"/>
        <v>1.5940488841656997E-3</v>
      </c>
      <c r="G28" s="16">
        <f t="shared" si="10"/>
        <v>1.5255259516799846E-3</v>
      </c>
      <c r="H28" s="16">
        <f t="shared" si="10"/>
        <v>2.0975540386802827E-3</v>
      </c>
      <c r="I28" s="16">
        <f t="shared" si="10"/>
        <v>3.7827421311826814E-3</v>
      </c>
      <c r="J28" s="16">
        <f t="shared" si="10"/>
        <v>4.2647743970181118E-3</v>
      </c>
      <c r="K28" s="16">
        <f t="shared" si="10"/>
        <v>2.4789825393403131E-3</v>
      </c>
      <c r="L28" s="16">
        <f t="shared" si="10"/>
        <v>2.593473092716847E-3</v>
      </c>
      <c r="M28" s="16">
        <f t="shared" si="10"/>
        <v>4.9592760180994233E-3</v>
      </c>
      <c r="N28" s="16">
        <f t="shared" si="10"/>
        <v>4.4724020071267301E-3</v>
      </c>
      <c r="O28" s="16">
        <f t="shared" si="10"/>
        <v>5.5575868372943482E-3</v>
      </c>
      <c r="P28" s="16">
        <f t="shared" si="10"/>
        <v>7.1439092649874247E-3</v>
      </c>
      <c r="Q28" s="16">
        <f t="shared" si="10"/>
        <v>1.2112854533934625E-2</v>
      </c>
      <c r="R28" s="16">
        <f t="shared" si="10"/>
        <v>1.0393522877047534E-2</v>
      </c>
      <c r="S28" s="16">
        <f t="shared" si="10"/>
        <v>1.119530863257312E-2</v>
      </c>
      <c r="T28" s="16">
        <f t="shared" si="10"/>
        <v>9.5725049976933541E-3</v>
      </c>
      <c r="U28" s="16">
        <f t="shared" si="10"/>
        <v>1.3599345361025472E-2</v>
      </c>
      <c r="V28" s="16">
        <f t="shared" si="10"/>
        <v>1.4468118749259018E-2</v>
      </c>
      <c r="W28" s="16">
        <f t="shared" si="10"/>
        <v>9.7796583107137014E-3</v>
      </c>
      <c r="X28" s="16">
        <f t="shared" si="10"/>
        <v>8.3722427950410072E-3</v>
      </c>
      <c r="Y28" s="16">
        <f t="shared" si="10"/>
        <v>1.0082940315498501E-2</v>
      </c>
      <c r="Z28" s="16">
        <f t="shared" si="10"/>
        <v>6.7537145429985568E-3</v>
      </c>
      <c r="AA28" s="16">
        <f t="shared" si="10"/>
        <v>9.1284593143328152E-3</v>
      </c>
      <c r="AB28" s="16">
        <f t="shared" si="10"/>
        <v>1.0687150371545329E-2</v>
      </c>
      <c r="AC28" s="16">
        <f t="shared" si="10"/>
        <v>1.1442807076806005E-2</v>
      </c>
      <c r="AD28" s="16">
        <f t="shared" si="10"/>
        <v>1.3783656521553223E-2</v>
      </c>
      <c r="AE28" s="16">
        <f t="shared" si="10"/>
        <v>1.3096838544602862E-2</v>
      </c>
      <c r="AF28" s="16">
        <f t="shared" si="10"/>
        <v>1.0163402987690029E-2</v>
      </c>
      <c r="AG28" s="16">
        <f t="shared" si="10"/>
        <v>8.2151848416589512E-3</v>
      </c>
      <c r="AH28" s="16">
        <f t="shared" si="10"/>
        <v>9.0921246155903912E-3</v>
      </c>
      <c r="AI28" s="16">
        <f t="shared" si="10"/>
        <v>1.0129659643435929E-2</v>
      </c>
      <c r="AJ28" s="16">
        <f t="shared" si="10"/>
        <v>8.6735388946914682E-3</v>
      </c>
      <c r="AK28" s="16">
        <f t="shared" si="10"/>
        <v>8.0106197930971401E-3</v>
      </c>
      <c r="AL28" s="16">
        <f t="shared" si="10"/>
        <v>9.7993898493111686E-3</v>
      </c>
      <c r="AM28" s="16">
        <f t="shared" si="10"/>
        <v>8.9073357272768661E-3</v>
      </c>
      <c r="AN28" s="16">
        <f t="shared" si="10"/>
        <v>9.3673507813971657E-3</v>
      </c>
      <c r="AO28" s="16">
        <f t="shared" si="10"/>
        <v>1.3791457885946157E-2</v>
      </c>
      <c r="AP28" s="16">
        <f t="shared" si="10"/>
        <v>1.1536976250241304E-2</v>
      </c>
      <c r="AQ28" s="16">
        <f t="shared" si="10"/>
        <v>1.1572830704624115E-2</v>
      </c>
      <c r="AR28" s="16">
        <f t="shared" si="10"/>
        <v>1.1408534176214902E-2</v>
      </c>
      <c r="AS28" s="16">
        <f t="shared" si="10"/>
        <v>1.1237077361034853E-2</v>
      </c>
      <c r="AT28" s="16">
        <f t="shared" si="10"/>
        <v>1.2233961882614608E-2</v>
      </c>
      <c r="AU28" s="16">
        <f t="shared" si="10"/>
        <v>1.0678520335172692E-2</v>
      </c>
      <c r="AV28" s="8"/>
      <c r="AW28" s="8"/>
    </row>
    <row r="29" spans="1:49" x14ac:dyDescent="0.25">
      <c r="A29" s="10" t="s">
        <v>143</v>
      </c>
      <c r="B29" s="17">
        <f t="shared" si="3"/>
        <v>5.4550346652713078E-3</v>
      </c>
      <c r="C29" s="17">
        <f t="shared" si="3"/>
        <v>1.0183413137533792E-2</v>
      </c>
      <c r="D29" s="17">
        <f t="shared" ref="D29:AU29" si="11">(D18/E18)-1</f>
        <v>3.8836040144281103E-3</v>
      </c>
      <c r="E29" s="17">
        <f t="shared" si="11"/>
        <v>5.1887253244360387E-3</v>
      </c>
      <c r="F29" s="17">
        <f t="shared" si="11"/>
        <v>4.0099437551635031E-3</v>
      </c>
      <c r="G29" s="17">
        <f t="shared" si="11"/>
        <v>1.1443116757556826E-3</v>
      </c>
      <c r="H29" s="17">
        <f t="shared" si="11"/>
        <v>8.2019571306002348E-4</v>
      </c>
      <c r="I29" s="17">
        <f t="shared" si="11"/>
        <v>3.5920083485829757E-4</v>
      </c>
      <c r="J29" s="17">
        <f t="shared" si="11"/>
        <v>-5.4039959337770505E-4</v>
      </c>
      <c r="K29" s="17">
        <f t="shared" si="11"/>
        <v>3.5157224620618877E-4</v>
      </c>
      <c r="L29" s="17">
        <f t="shared" si="11"/>
        <v>-1.1516778624857116E-3</v>
      </c>
      <c r="M29" s="17">
        <f t="shared" si="11"/>
        <v>-2.1777709120638367E-3</v>
      </c>
      <c r="N29" s="17">
        <f t="shared" si="11"/>
        <v>-1.9516560873621414E-3</v>
      </c>
      <c r="O29" s="17">
        <f t="shared" si="11"/>
        <v>1.355585010242244E-3</v>
      </c>
      <c r="P29" s="17">
        <f t="shared" si="11"/>
        <v>-9.2921768899412172E-4</v>
      </c>
      <c r="Q29" s="17">
        <f t="shared" si="11"/>
        <v>3.3708034817794275E-3</v>
      </c>
      <c r="R29" s="17">
        <f t="shared" si="11"/>
        <v>4.2798709594265016E-3</v>
      </c>
      <c r="S29" s="17">
        <f t="shared" si="11"/>
        <v>6.589942991459985E-3</v>
      </c>
      <c r="T29" s="17">
        <f t="shared" si="11"/>
        <v>7.1907607755721248E-3</v>
      </c>
      <c r="U29" s="17">
        <f t="shared" si="11"/>
        <v>1.4239383804601324E-2</v>
      </c>
      <c r="V29" s="17">
        <f t="shared" si="11"/>
        <v>1.7458554771158763E-2</v>
      </c>
      <c r="W29" s="17">
        <f t="shared" si="11"/>
        <v>8.7940402173303234E-3</v>
      </c>
      <c r="X29" s="17">
        <f t="shared" si="11"/>
        <v>1.109632320519105E-2</v>
      </c>
      <c r="Y29" s="17">
        <f t="shared" si="11"/>
        <v>1.2272373793014157E-3</v>
      </c>
      <c r="Z29" s="17">
        <f t="shared" si="11"/>
        <v>3.8912087956768371E-3</v>
      </c>
      <c r="AA29" s="17">
        <f t="shared" si="11"/>
        <v>6.6224352388866148E-3</v>
      </c>
      <c r="AB29" s="17">
        <f t="shared" si="11"/>
        <v>6.1318112934043434E-3</v>
      </c>
      <c r="AC29" s="17">
        <f t="shared" si="11"/>
        <v>8.4971717624782173E-3</v>
      </c>
      <c r="AD29" s="17">
        <f t="shared" si="11"/>
        <v>1.2876222526028158E-2</v>
      </c>
      <c r="AE29" s="17">
        <f t="shared" si="11"/>
        <v>8.6213845977605175E-3</v>
      </c>
      <c r="AF29" s="17">
        <f t="shared" si="11"/>
        <v>1.7158861887561105E-2</v>
      </c>
      <c r="AG29" s="17">
        <f t="shared" si="11"/>
        <v>1.2342065253482026E-2</v>
      </c>
      <c r="AH29" s="17">
        <f t="shared" si="11"/>
        <v>2.9621060749465133E-3</v>
      </c>
      <c r="AI29" s="17">
        <f t="shared" si="11"/>
        <v>1.2057810081730791E-2</v>
      </c>
      <c r="AJ29" s="17">
        <f t="shared" si="11"/>
        <v>8.389194217001128E-3</v>
      </c>
      <c r="AK29" s="17">
        <f t="shared" si="11"/>
        <v>1.8682460887797792E-3</v>
      </c>
      <c r="AL29" s="17">
        <f t="shared" si="11"/>
        <v>5.3600223409333569E-3</v>
      </c>
      <c r="AM29" s="17">
        <f t="shared" si="11"/>
        <v>5.4799731888914849E-3</v>
      </c>
      <c r="AN29" s="17">
        <f t="shared" si="11"/>
        <v>6.5873750336207237E-3</v>
      </c>
      <c r="AO29" s="17">
        <f t="shared" si="11"/>
        <v>5.6250343828507798E-3</v>
      </c>
      <c r="AP29" s="17">
        <f t="shared" si="11"/>
        <v>8.5583107161517624E-3</v>
      </c>
      <c r="AQ29" s="17">
        <f t="shared" si="11"/>
        <v>8.1432313759122188E-3</v>
      </c>
      <c r="AR29" s="17">
        <f t="shared" si="11"/>
        <v>6.9324171465852125E-3</v>
      </c>
      <c r="AS29" s="17">
        <f t="shared" si="11"/>
        <v>1.1647452090178811E-2</v>
      </c>
      <c r="AT29" s="17">
        <f t="shared" si="11"/>
        <v>1.4963927537000155E-2</v>
      </c>
      <c r="AU29" s="17">
        <f t="shared" si="11"/>
        <v>1.036665530505898E-2</v>
      </c>
    </row>
    <row r="30" spans="1:49" x14ac:dyDescent="0.25">
      <c r="A30" s="11"/>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row>
    <row r="31" spans="1:49" x14ac:dyDescent="0.25">
      <c r="A31" s="10" t="s">
        <v>164</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row>
    <row r="32" spans="1:49" x14ac:dyDescent="0.25">
      <c r="A32" s="11" t="s">
        <v>135</v>
      </c>
      <c r="B32" s="8"/>
      <c r="C32" s="15"/>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row>
    <row r="33" spans="1:48" x14ac:dyDescent="0.25">
      <c r="A33" s="11" t="s">
        <v>136</v>
      </c>
      <c r="B33" s="15">
        <f t="shared" ref="B33:C40" si="12">(B11/N11)-1</f>
        <v>-2.3958898749037338E-2</v>
      </c>
      <c r="C33" s="15">
        <f t="shared" si="12"/>
        <v>-3.5572973584052536E-2</v>
      </c>
      <c r="D33" s="15">
        <f t="shared" ref="D33:AJ33" si="13">(D11/P11)-1</f>
        <v>-4.6816996087087448E-2</v>
      </c>
      <c r="E33" s="15">
        <f t="shared" si="13"/>
        <v>-5.0827998452572576E-2</v>
      </c>
      <c r="F33" s="15">
        <f t="shared" si="13"/>
        <v>-5.1720695765017144E-2</v>
      </c>
      <c r="G33" s="15">
        <f t="shared" si="13"/>
        <v>-4.9250081106036792E-2</v>
      </c>
      <c r="H33" s="15">
        <f>(H11/T11)-1</f>
        <v>-4.0995204287342157E-2</v>
      </c>
      <c r="I33" s="15">
        <f t="shared" si="13"/>
        <v>-3.1376543675645796E-2</v>
      </c>
      <c r="J33" s="15">
        <f t="shared" si="13"/>
        <v>-1.3365549691613188E-2</v>
      </c>
      <c r="K33" s="15">
        <f t="shared" si="13"/>
        <v>6.8364161700591453E-3</v>
      </c>
      <c r="L33" s="15">
        <f t="shared" si="13"/>
        <v>1.7773851131004159E-2</v>
      </c>
      <c r="M33" s="15">
        <f t="shared" si="13"/>
        <v>3.4396744124983503E-2</v>
      </c>
      <c r="N33" s="15">
        <f t="shared" si="13"/>
        <v>4.0151783721326995E-2</v>
      </c>
      <c r="O33" s="15">
        <f t="shared" si="13"/>
        <v>4.9806155550280895E-2</v>
      </c>
      <c r="P33" s="15">
        <f t="shared" si="13"/>
        <v>5.9318994034887274E-2</v>
      </c>
      <c r="Q33" s="15">
        <f t="shared" si="13"/>
        <v>7.0295178309069062E-2</v>
      </c>
      <c r="R33" s="15">
        <f t="shared" si="13"/>
        <v>7.7843828173332907E-2</v>
      </c>
      <c r="S33" s="15">
        <f t="shared" si="13"/>
        <v>8.8516129032258029E-2</v>
      </c>
      <c r="T33" s="15">
        <f t="shared" si="13"/>
        <v>8.8541169735712355E-2</v>
      </c>
      <c r="U33" s="15">
        <f t="shared" si="13"/>
        <v>9.8755026184521366E-2</v>
      </c>
      <c r="V33" s="15">
        <f t="shared" si="13"/>
        <v>9.7549060659352982E-2</v>
      </c>
      <c r="W33" s="15">
        <f t="shared" si="13"/>
        <v>8.4567927141478094E-2</v>
      </c>
      <c r="X33" s="15">
        <f t="shared" si="13"/>
        <v>9.0106932936760753E-2</v>
      </c>
      <c r="Y33" s="15">
        <f t="shared" si="13"/>
        <v>8.9029638419856116E-2</v>
      </c>
      <c r="Z33" s="15">
        <f t="shared" si="13"/>
        <v>9.0132256956372503E-2</v>
      </c>
      <c r="AA33" s="15">
        <f t="shared" si="13"/>
        <v>9.1152390681880302E-2</v>
      </c>
      <c r="AB33" s="15">
        <f t="shared" si="13"/>
        <v>9.0283611923868134E-2</v>
      </c>
      <c r="AC33" s="15">
        <f t="shared" si="13"/>
        <v>9.1017719748193171E-2</v>
      </c>
      <c r="AD33" s="15">
        <f t="shared" si="13"/>
        <v>8.819224915115309E-2</v>
      </c>
      <c r="AE33" s="15">
        <f t="shared" si="13"/>
        <v>8.5322169317629148E-2</v>
      </c>
      <c r="AF33" s="15">
        <f t="shared" si="13"/>
        <v>8.9759966728061302E-2</v>
      </c>
      <c r="AG33" s="15">
        <f t="shared" si="13"/>
        <v>8.2231726283048312E-2</v>
      </c>
      <c r="AH33" s="15">
        <f t="shared" si="13"/>
        <v>8.4050778472106735E-2</v>
      </c>
      <c r="AI33" s="15">
        <f t="shared" si="13"/>
        <v>0.10014775140825583</v>
      </c>
      <c r="AJ33" s="15">
        <f t="shared" si="13"/>
        <v>0.10088095423715604</v>
      </c>
      <c r="AK33" s="15"/>
    </row>
    <row r="34" spans="1:48" x14ac:dyDescent="0.25">
      <c r="A34" s="11" t="s">
        <v>137</v>
      </c>
      <c r="B34" s="16">
        <f t="shared" si="12"/>
        <v>5.1589450879093501E-2</v>
      </c>
      <c r="C34" s="16">
        <f t="shared" si="12"/>
        <v>3.8864597073211327E-2</v>
      </c>
      <c r="D34" s="16">
        <f t="shared" ref="D34:AJ34" si="14">(D12/P12)-1</f>
        <v>2.1918007718633836E-2</v>
      </c>
      <c r="E34" s="16">
        <f t="shared" si="14"/>
        <v>9.5766756588502311E-3</v>
      </c>
      <c r="F34" s="16">
        <f t="shared" si="14"/>
        <v>1.903295926114712E-3</v>
      </c>
      <c r="G34" s="16">
        <f t="shared" si="14"/>
        <v>-2.5361902873304309E-3</v>
      </c>
      <c r="H34" s="16">
        <f t="shared" si="14"/>
        <v>4.1941470677664405E-4</v>
      </c>
      <c r="I34" s="16">
        <f t="shared" si="14"/>
        <v>6.2350980102547915E-3</v>
      </c>
      <c r="J34" s="16">
        <f t="shared" si="14"/>
        <v>2.168372810211161E-2</v>
      </c>
      <c r="K34" s="16">
        <f t="shared" si="14"/>
        <v>4.6702364136088415E-2</v>
      </c>
      <c r="L34" s="16">
        <f t="shared" si="14"/>
        <v>5.9128642202444848E-2</v>
      </c>
      <c r="M34" s="16">
        <f t="shared" si="14"/>
        <v>7.733015065192439E-2</v>
      </c>
      <c r="N34" s="16">
        <f t="shared" si="14"/>
        <v>8.1037258898109421E-2</v>
      </c>
      <c r="O34" s="16">
        <f t="shared" si="14"/>
        <v>8.9161887308967014E-2</v>
      </c>
      <c r="P34" s="16">
        <f t="shared" si="14"/>
        <v>9.5597369590736614E-2</v>
      </c>
      <c r="Q34" s="16">
        <f t="shared" si="14"/>
        <v>0.10599818688821827</v>
      </c>
      <c r="R34" s="16">
        <f t="shared" si="14"/>
        <v>0.11355739831372191</v>
      </c>
      <c r="S34" s="16">
        <f t="shared" si="14"/>
        <v>0.12620480511542609</v>
      </c>
      <c r="T34" s="16">
        <f t="shared" si="14"/>
        <v>0.13073840462866371</v>
      </c>
      <c r="U34" s="16">
        <f t="shared" si="14"/>
        <v>0.14625356745513463</v>
      </c>
      <c r="V34" s="16">
        <f t="shared" si="14"/>
        <v>0.14920689612738869</v>
      </c>
      <c r="W34" s="16">
        <f t="shared" si="14"/>
        <v>0.12812689157638557</v>
      </c>
      <c r="X34" s="16">
        <f t="shared" si="14"/>
        <v>0.13388963593178604</v>
      </c>
      <c r="Y34" s="16">
        <f t="shared" si="14"/>
        <v>0.12901544524248387</v>
      </c>
      <c r="Z34" s="16">
        <f t="shared" si="14"/>
        <v>0.13262000714176403</v>
      </c>
      <c r="AA34" s="16">
        <f t="shared" si="14"/>
        <v>0.13707810249022434</v>
      </c>
      <c r="AB34" s="16">
        <f t="shared" si="14"/>
        <v>0.13715655780196978</v>
      </c>
      <c r="AC34" s="16">
        <f t="shared" si="14"/>
        <v>0.14033159292846009</v>
      </c>
      <c r="AD34" s="16">
        <f t="shared" si="14"/>
        <v>0.13622486577534465</v>
      </c>
      <c r="AE34" s="16">
        <f t="shared" si="14"/>
        <v>0.13006747781733186</v>
      </c>
      <c r="AF34" s="16">
        <f t="shared" si="14"/>
        <v>0.12948108470036823</v>
      </c>
      <c r="AG34" s="16">
        <f t="shared" si="14"/>
        <v>0.11327714801152444</v>
      </c>
      <c r="AH34" s="16">
        <f t="shared" si="14"/>
        <v>0.10783471705315395</v>
      </c>
      <c r="AI34" s="16">
        <f t="shared" si="14"/>
        <v>0.12589883030362037</v>
      </c>
      <c r="AJ34" s="16">
        <f t="shared" si="14"/>
        <v>0.12286569017582472</v>
      </c>
    </row>
    <row r="35" spans="1:48" x14ac:dyDescent="0.25">
      <c r="A35" s="11" t="s">
        <v>138</v>
      </c>
      <c r="B35" s="15">
        <f t="shared" si="12"/>
        <v>1.7434527783960485E-2</v>
      </c>
      <c r="C35" s="15">
        <f t="shared" si="12"/>
        <v>5.1735704458366616E-3</v>
      </c>
      <c r="D35" s="15">
        <f t="shared" ref="D35:AJ35" si="15">(D13/P13)-1</f>
        <v>-9.2456231129206534E-3</v>
      </c>
      <c r="E35" s="15">
        <f t="shared" si="15"/>
        <v>-1.7845711080770266E-2</v>
      </c>
      <c r="F35" s="15">
        <f t="shared" si="15"/>
        <v>-2.2474204582196289E-2</v>
      </c>
      <c r="G35" s="15">
        <f t="shared" si="15"/>
        <v>-2.3812906709101744E-2</v>
      </c>
      <c r="H35" s="15">
        <f t="shared" si="15"/>
        <v>-1.8455322597212942E-2</v>
      </c>
      <c r="I35" s="15">
        <f t="shared" si="15"/>
        <v>-1.0923444097668544E-2</v>
      </c>
      <c r="J35" s="15">
        <f t="shared" si="15"/>
        <v>5.6620335652788345E-3</v>
      </c>
      <c r="K35" s="15">
        <f t="shared" si="15"/>
        <v>2.839815456413719E-2</v>
      </c>
      <c r="L35" s="15">
        <f t="shared" si="15"/>
        <v>4.0091151596349128E-2</v>
      </c>
      <c r="M35" s="15">
        <f t="shared" si="15"/>
        <v>5.7508606895213976E-2</v>
      </c>
      <c r="N35" s="15">
        <f t="shared" si="15"/>
        <v>6.2162063865383033E-2</v>
      </c>
      <c r="O35" s="15">
        <f t="shared" si="15"/>
        <v>7.0989740311139693E-2</v>
      </c>
      <c r="P35" s="15">
        <f t="shared" si="15"/>
        <v>7.884598868808812E-2</v>
      </c>
      <c r="Q35" s="15">
        <f t="shared" si="15"/>
        <v>8.9498990821724078E-2</v>
      </c>
      <c r="R35" s="15">
        <f t="shared" si="15"/>
        <v>9.7032943782747738E-2</v>
      </c>
      <c r="S35" s="15">
        <f t="shared" si="15"/>
        <v>0.10872017189557726</v>
      </c>
      <c r="T35" s="15">
        <f t="shared" si="15"/>
        <v>0.11110829301697422</v>
      </c>
      <c r="U35" s="15">
        <f t="shared" si="15"/>
        <v>0.12408504930254161</v>
      </c>
      <c r="V35" s="15">
        <f t="shared" si="15"/>
        <v>0.1250024524390323</v>
      </c>
      <c r="W35" s="15">
        <f t="shared" si="15"/>
        <v>0.10770048283824929</v>
      </c>
      <c r="X35" s="15">
        <f t="shared" si="15"/>
        <v>0.11330554408768267</v>
      </c>
      <c r="Y35" s="15">
        <f t="shared" si="15"/>
        <v>0.11019595176571939</v>
      </c>
      <c r="Z35" s="15">
        <f t="shared" si="15"/>
        <v>0.11260082548760431</v>
      </c>
      <c r="AA35" s="15">
        <f t="shared" si="15"/>
        <v>0.11540107169780578</v>
      </c>
      <c r="AB35" s="15">
        <f t="shared" si="15"/>
        <v>0.11502209332549018</v>
      </c>
      <c r="AC35" s="15">
        <f t="shared" si="15"/>
        <v>0.11699978627027852</v>
      </c>
      <c r="AD35" s="15">
        <f t="shared" si="15"/>
        <v>0.11348392461197343</v>
      </c>
      <c r="AE35" s="15">
        <f t="shared" si="15"/>
        <v>0.10885893754235942</v>
      </c>
      <c r="AF35" s="15">
        <f t="shared" si="15"/>
        <v>0.11064866653990513</v>
      </c>
      <c r="AG35" s="15">
        <f t="shared" si="15"/>
        <v>9.8568898335104516E-2</v>
      </c>
      <c r="AH35" s="15">
        <f t="shared" si="15"/>
        <v>9.6562060755572166E-2</v>
      </c>
      <c r="AI35" s="15">
        <f t="shared" si="15"/>
        <v>0.11367472036121096</v>
      </c>
      <c r="AJ35" s="15">
        <f t="shared" si="15"/>
        <v>0.11242138947118896</v>
      </c>
    </row>
    <row r="36" spans="1:48" x14ac:dyDescent="0.25">
      <c r="A36" s="11" t="s">
        <v>139</v>
      </c>
      <c r="B36" s="16">
        <f t="shared" si="12"/>
        <v>5.1674894550681971E-2</v>
      </c>
      <c r="C36" s="16">
        <f t="shared" si="12"/>
        <v>5.2033504131294039E-2</v>
      </c>
      <c r="D36" s="16">
        <f t="shared" ref="D36:AJ36" si="16">(D14/P14)-1</f>
        <v>5.2173254581250994E-2</v>
      </c>
      <c r="E36" s="16">
        <f t="shared" si="16"/>
        <v>5.242294926505453E-2</v>
      </c>
      <c r="F36" s="16">
        <f t="shared" si="16"/>
        <v>5.2400998114249919E-2</v>
      </c>
      <c r="G36" s="16">
        <f t="shared" si="16"/>
        <v>5.2439702975996427E-2</v>
      </c>
      <c r="H36" s="16">
        <f t="shared" si="16"/>
        <v>5.3663071053701827E-2</v>
      </c>
      <c r="I36" s="16">
        <f t="shared" si="16"/>
        <v>5.5867781541895978E-2</v>
      </c>
      <c r="J36" s="16">
        <f t="shared" si="16"/>
        <v>6.350090516641127E-2</v>
      </c>
      <c r="K36" s="16">
        <f t="shared" si="16"/>
        <v>7.273974260701177E-2</v>
      </c>
      <c r="L36" s="16">
        <f t="shared" si="16"/>
        <v>7.3619383331307686E-2</v>
      </c>
      <c r="M36" s="16">
        <f t="shared" si="16"/>
        <v>7.5969970092164774E-2</v>
      </c>
      <c r="N36" s="16">
        <f t="shared" si="16"/>
        <v>7.6016607644401102E-2</v>
      </c>
      <c r="O36" s="16">
        <f t="shared" si="16"/>
        <v>7.6752376880636852E-2</v>
      </c>
      <c r="P36" s="16">
        <f t="shared" si="16"/>
        <v>7.6766276652125987E-2</v>
      </c>
      <c r="Q36" s="16">
        <f t="shared" si="16"/>
        <v>7.7978368874077386E-2</v>
      </c>
      <c r="R36" s="16">
        <f t="shared" si="16"/>
        <v>8.138337315646349E-2</v>
      </c>
      <c r="S36" s="16">
        <f t="shared" si="16"/>
        <v>8.7924016282225237E-2</v>
      </c>
      <c r="T36" s="16">
        <f t="shared" si="16"/>
        <v>9.5001802489556253E-2</v>
      </c>
      <c r="U36" s="16">
        <f t="shared" si="16"/>
        <v>0.1058010870271322</v>
      </c>
      <c r="V36" s="16">
        <f t="shared" si="16"/>
        <v>9.88523335883702E-2</v>
      </c>
      <c r="W36" s="16">
        <f t="shared" si="16"/>
        <v>8.4604108779836817E-2</v>
      </c>
      <c r="X36" s="16">
        <f t="shared" si="16"/>
        <v>8.3950020861239816E-2</v>
      </c>
      <c r="Y36" s="16">
        <f t="shared" si="16"/>
        <v>8.0764325607986409E-2</v>
      </c>
      <c r="Z36" s="16">
        <f t="shared" si="16"/>
        <v>7.8824872650623545E-2</v>
      </c>
      <c r="AA36" s="16">
        <f t="shared" si="16"/>
        <v>7.6982108402034566E-2</v>
      </c>
      <c r="AB36" s="16">
        <f t="shared" si="16"/>
        <v>7.4043261231281132E-2</v>
      </c>
      <c r="AC36" s="16">
        <f t="shared" si="16"/>
        <v>7.1998421952395475E-2</v>
      </c>
      <c r="AD36" s="16">
        <f t="shared" si="16"/>
        <v>6.8115814485611326E-2</v>
      </c>
      <c r="AE36" s="16">
        <f t="shared" si="16"/>
        <v>6.2148020043456986E-2</v>
      </c>
      <c r="AF36" s="16">
        <f t="shared" si="16"/>
        <v>5.3222852548354016E-2</v>
      </c>
      <c r="AG36" s="16">
        <f t="shared" si="16"/>
        <v>3.9129652130867276E-2</v>
      </c>
      <c r="AH36" s="16">
        <f t="shared" si="16"/>
        <v>3.9163126689534478E-2</v>
      </c>
      <c r="AI36" s="16">
        <f t="shared" si="16"/>
        <v>4.337206382541603E-2</v>
      </c>
      <c r="AJ36" s="16">
        <f t="shared" si="16"/>
        <v>3.9845640955382011E-2</v>
      </c>
    </row>
    <row r="37" spans="1:48" x14ac:dyDescent="0.25">
      <c r="A37" s="11" t="s">
        <v>140</v>
      </c>
      <c r="B37" s="15">
        <f t="shared" si="12"/>
        <v>2.5370896464646631E-2</v>
      </c>
      <c r="C37" s="15">
        <f t="shared" si="12"/>
        <v>1.6006434044487428E-2</v>
      </c>
      <c r="D37" s="15">
        <f t="shared" ref="D37:AJ37" si="17">(D15/P15)-1</f>
        <v>4.9411651529793765E-3</v>
      </c>
      <c r="E37" s="15">
        <f t="shared" si="17"/>
        <v>-1.6838395030492892E-3</v>
      </c>
      <c r="F37" s="15">
        <f t="shared" si="17"/>
        <v>-5.2930635080203903E-3</v>
      </c>
      <c r="G37" s="15">
        <f t="shared" si="17"/>
        <v>-6.3883335087165927E-3</v>
      </c>
      <c r="H37" s="15">
        <f t="shared" si="17"/>
        <v>-2.0408073310385078E-3</v>
      </c>
      <c r="I37" s="15">
        <f t="shared" si="17"/>
        <v>4.2108345794267255E-3</v>
      </c>
      <c r="J37" s="15">
        <f t="shared" si="17"/>
        <v>1.8741283908407791E-2</v>
      </c>
      <c r="K37" s="15">
        <f t="shared" si="17"/>
        <v>3.8462066723742305E-2</v>
      </c>
      <c r="L37" s="15">
        <f t="shared" si="17"/>
        <v>4.7733611629324546E-2</v>
      </c>
      <c r="M37" s="15">
        <f t="shared" si="17"/>
        <v>6.1746094753309944E-2</v>
      </c>
      <c r="N37" s="15">
        <f t="shared" si="17"/>
        <v>6.5341466376467761E-2</v>
      </c>
      <c r="O37" s="15">
        <f t="shared" si="17"/>
        <v>7.2316431845665052E-2</v>
      </c>
      <c r="P37" s="15">
        <f t="shared" si="17"/>
        <v>7.8364894941340468E-2</v>
      </c>
      <c r="Q37" s="15">
        <f t="shared" si="17"/>
        <v>8.6827482884830554E-2</v>
      </c>
      <c r="R37" s="15">
        <f t="shared" si="17"/>
        <v>9.3402024411458395E-2</v>
      </c>
      <c r="S37" s="15">
        <f t="shared" si="17"/>
        <v>0.10389824109658008</v>
      </c>
      <c r="T37" s="15">
        <f t="shared" si="17"/>
        <v>0.10740086299470897</v>
      </c>
      <c r="U37" s="15">
        <f t="shared" si="17"/>
        <v>0.11988928862475401</v>
      </c>
      <c r="V37" s="15">
        <f t="shared" si="17"/>
        <v>0.11898074038277606</v>
      </c>
      <c r="W37" s="15">
        <f t="shared" si="17"/>
        <v>0.10237257682737888</v>
      </c>
      <c r="X37" s="15">
        <f t="shared" si="17"/>
        <v>0.10647516567288506</v>
      </c>
      <c r="Y37" s="15">
        <f t="shared" si="17"/>
        <v>0.10329956823263919</v>
      </c>
      <c r="Z37" s="15">
        <f t="shared" si="17"/>
        <v>0.10466412134970593</v>
      </c>
      <c r="AA37" s="15">
        <f t="shared" si="17"/>
        <v>0.10631523818906841</v>
      </c>
      <c r="AB37" s="15">
        <f t="shared" si="17"/>
        <v>0.10526699813419227</v>
      </c>
      <c r="AC37" s="15">
        <f t="shared" si="17"/>
        <v>0.10623121745013608</v>
      </c>
      <c r="AD37" s="15">
        <f t="shared" si="17"/>
        <v>0.10261787829606051</v>
      </c>
      <c r="AE37" s="15">
        <f t="shared" si="17"/>
        <v>9.7666066314956224E-2</v>
      </c>
      <c r="AF37" s="15">
        <f t="shared" si="17"/>
        <v>9.68823116831663E-2</v>
      </c>
      <c r="AG37" s="15">
        <f t="shared" si="17"/>
        <v>8.4335531703952693E-2</v>
      </c>
      <c r="AH37" s="15">
        <f t="shared" si="17"/>
        <v>8.2789632900008181E-2</v>
      </c>
      <c r="AI37" s="15">
        <f t="shared" si="17"/>
        <v>9.6629400044277336E-2</v>
      </c>
      <c r="AJ37" s="15">
        <f t="shared" si="17"/>
        <v>9.4644704829553339E-2</v>
      </c>
    </row>
    <row r="38" spans="1:48" x14ac:dyDescent="0.25">
      <c r="A38" s="11" t="s">
        <v>141</v>
      </c>
      <c r="B38" s="15">
        <f t="shared" si="12"/>
        <v>8.2473162675474887E-2</v>
      </c>
      <c r="C38" s="15">
        <f t="shared" si="12"/>
        <v>8.6591309758373924E-2</v>
      </c>
      <c r="D38" s="15">
        <f t="shared" ref="D38:AJ38" si="18">(D16/P16)-1</f>
        <v>9.1424372835100076E-2</v>
      </c>
      <c r="E38" s="15">
        <f t="shared" si="18"/>
        <v>9.9883239571170845E-2</v>
      </c>
      <c r="F38" s="15">
        <f t="shared" si="18"/>
        <v>0.10740780561229979</v>
      </c>
      <c r="G38" s="15">
        <f t="shared" si="18"/>
        <v>0.1178267510364388</v>
      </c>
      <c r="H38" s="15">
        <f t="shared" si="18"/>
        <v>0.14092231922990828</v>
      </c>
      <c r="I38" s="15">
        <f t="shared" si="18"/>
        <v>0.14877439854743524</v>
      </c>
      <c r="J38" s="15">
        <f t="shared" si="18"/>
        <v>0.16404703690767253</v>
      </c>
      <c r="K38" s="15">
        <f t="shared" si="18"/>
        <v>0.17482185273159145</v>
      </c>
      <c r="L38" s="15">
        <f t="shared" si="18"/>
        <v>0.1757859371250301</v>
      </c>
      <c r="M38" s="15">
        <f t="shared" si="18"/>
        <v>0.18150851581508531</v>
      </c>
      <c r="N38" s="15">
        <f t="shared" si="18"/>
        <v>0.18232853307298025</v>
      </c>
      <c r="O38" s="15">
        <f t="shared" si="18"/>
        <v>0.18260976207996071</v>
      </c>
      <c r="P38" s="15">
        <f t="shared" si="18"/>
        <v>0.18509764896131364</v>
      </c>
      <c r="Q38" s="15">
        <f t="shared" si="18"/>
        <v>0.1844355041488559</v>
      </c>
      <c r="R38" s="15">
        <f t="shared" si="18"/>
        <v>0.18378515973017695</v>
      </c>
      <c r="S38" s="15">
        <f t="shared" si="18"/>
        <v>0.18149007476153667</v>
      </c>
      <c r="T38" s="15">
        <f t="shared" si="18"/>
        <v>0.15039917589492657</v>
      </c>
      <c r="U38" s="15">
        <f t="shared" si="18"/>
        <v>0.15249803818990326</v>
      </c>
      <c r="V38" s="15">
        <f t="shared" si="18"/>
        <v>0.13057785968145308</v>
      </c>
      <c r="W38" s="15">
        <f t="shared" si="18"/>
        <v>0.10209424083769636</v>
      </c>
      <c r="X38" s="15">
        <f t="shared" si="18"/>
        <v>0.1012156448202961</v>
      </c>
      <c r="Y38" s="15">
        <f t="shared" si="18"/>
        <v>9.3957945169017787E-2</v>
      </c>
      <c r="Z38" s="15">
        <f t="shared" si="18"/>
        <v>8.7025736269567666E-2</v>
      </c>
      <c r="AA38" s="15">
        <f t="shared" si="18"/>
        <v>8.3012352238013065E-2</v>
      </c>
      <c r="AB38" s="15">
        <f t="shared" si="18"/>
        <v>7.3727794844396843E-2</v>
      </c>
      <c r="AC38" s="15">
        <f t="shared" si="18"/>
        <v>6.8224550094010183E-2</v>
      </c>
      <c r="AD38" s="15">
        <f t="shared" si="18"/>
        <v>6.103983794733292E-2</v>
      </c>
      <c r="AE38" s="15">
        <f t="shared" si="18"/>
        <v>5.6660310542086423E-2</v>
      </c>
      <c r="AF38" s="15">
        <f t="shared" si="18"/>
        <v>6.6465256797582972E-2</v>
      </c>
      <c r="AG38" s="15">
        <f t="shared" si="18"/>
        <v>5.9442981848413456E-2</v>
      </c>
      <c r="AH38" s="15">
        <f t="shared" si="18"/>
        <v>6.7594154019111841E-2</v>
      </c>
      <c r="AI38" s="15">
        <f t="shared" si="18"/>
        <v>8.5535663540778684E-2</v>
      </c>
      <c r="AJ38" s="15">
        <f t="shared" si="18"/>
        <v>8.0679708696272945E-2</v>
      </c>
    </row>
    <row r="39" spans="1:48" x14ac:dyDescent="0.25">
      <c r="A39" s="11" t="s">
        <v>142</v>
      </c>
      <c r="B39" s="16">
        <f t="shared" si="12"/>
        <v>2.8742081447963752E-2</v>
      </c>
      <c r="C39" s="16">
        <f t="shared" si="12"/>
        <v>3.2143116864228105E-2</v>
      </c>
      <c r="D39" s="16">
        <f t="shared" ref="D39:AJ39" si="19">(D17/P17)-1</f>
        <v>3.6745886654478976E-2</v>
      </c>
      <c r="E39" s="16">
        <f t="shared" si="19"/>
        <v>4.2900279864486635E-2</v>
      </c>
      <c r="F39" s="16">
        <f t="shared" si="19"/>
        <v>5.3818344452312594E-2</v>
      </c>
      <c r="G39" s="16">
        <f t="shared" si="19"/>
        <v>6.3076633402372462E-2</v>
      </c>
      <c r="H39" s="16">
        <f t="shared" si="19"/>
        <v>7.3340695327672289E-2</v>
      </c>
      <c r="I39" s="16">
        <f t="shared" si="19"/>
        <v>8.1347070582808101E-2</v>
      </c>
      <c r="J39" s="16">
        <f t="shared" si="19"/>
        <v>9.1922222655184349E-2</v>
      </c>
      <c r="K39" s="16">
        <f t="shared" si="19"/>
        <v>0.10301616792505053</v>
      </c>
      <c r="L39" s="16">
        <f t="shared" si="19"/>
        <v>0.11104901804247169</v>
      </c>
      <c r="M39" s="16">
        <f t="shared" si="19"/>
        <v>0.11745290613427772</v>
      </c>
      <c r="N39" s="16">
        <f t="shared" si="19"/>
        <v>0.12315010570824536</v>
      </c>
      <c r="O39" s="16">
        <f t="shared" si="19"/>
        <v>0.1257009537063567</v>
      </c>
      <c r="P39" s="16">
        <f t="shared" si="19"/>
        <v>0.12969847170590665</v>
      </c>
      <c r="Q39" s="16">
        <f t="shared" si="19"/>
        <v>0.13367287300659592</v>
      </c>
      <c r="R39" s="16">
        <f t="shared" si="19"/>
        <v>0.13292234936452285</v>
      </c>
      <c r="S39" s="16">
        <f t="shared" si="19"/>
        <v>0.13672359916099497</v>
      </c>
      <c r="T39" s="16">
        <f t="shared" si="19"/>
        <v>0.13886118218483023</v>
      </c>
      <c r="U39" s="16">
        <f t="shared" si="19"/>
        <v>0.13952775222324432</v>
      </c>
      <c r="V39" s="16">
        <f t="shared" si="19"/>
        <v>0.13347466984673839</v>
      </c>
      <c r="W39" s="16">
        <f t="shared" si="19"/>
        <v>0.12746802157151138</v>
      </c>
      <c r="X39" s="16">
        <f t="shared" si="19"/>
        <v>0.12785881505492536</v>
      </c>
      <c r="Y39" s="16">
        <f t="shared" si="19"/>
        <v>0.12819581308750738</v>
      </c>
      <c r="Z39" s="16">
        <f t="shared" si="19"/>
        <v>0.12588116817724071</v>
      </c>
      <c r="AA39" s="16">
        <f t="shared" si="19"/>
        <v>0.12928723305907353</v>
      </c>
      <c r="AB39" s="16">
        <f t="shared" si="19"/>
        <v>0.12903977988154636</v>
      </c>
      <c r="AC39" s="16">
        <f t="shared" si="19"/>
        <v>0.12756543023912625</v>
      </c>
      <c r="AD39" s="16">
        <f t="shared" si="19"/>
        <v>0.13018372703412084</v>
      </c>
      <c r="AE39" s="16">
        <f t="shared" si="19"/>
        <v>0.12767908862714816</v>
      </c>
      <c r="AF39" s="16">
        <f t="shared" si="19"/>
        <v>0.12598271399970695</v>
      </c>
      <c r="AG39" s="16">
        <f t="shared" si="19"/>
        <v>0.1273706045041485</v>
      </c>
      <c r="AH39" s="16">
        <f t="shared" si="19"/>
        <v>0.13074963791639616</v>
      </c>
      <c r="AI39" s="16">
        <f t="shared" si="19"/>
        <v>0.13427025933977044</v>
      </c>
      <c r="AJ39" s="16">
        <f t="shared" si="19"/>
        <v>0.13488657265481296</v>
      </c>
    </row>
    <row r="40" spans="1:48" x14ac:dyDescent="0.25">
      <c r="A40" s="10" t="s">
        <v>143</v>
      </c>
      <c r="B40" s="17">
        <f t="shared" si="12"/>
        <v>2.780614071112919E-2</v>
      </c>
      <c r="C40" s="17">
        <f t="shared" si="12"/>
        <v>2.0234800397099795E-2</v>
      </c>
      <c r="D40" s="17">
        <f t="shared" ref="D40:AI40" si="20">(D18/P18)-1</f>
        <v>1.1319134835522382E-2</v>
      </c>
      <c r="E40" s="17">
        <f t="shared" si="20"/>
        <v>6.4706656885427094E-3</v>
      </c>
      <c r="F40" s="17">
        <f t="shared" si="20"/>
        <v>4.6504254082335716E-3</v>
      </c>
      <c r="G40" s="17">
        <f t="shared" si="20"/>
        <v>4.9205248054344786E-3</v>
      </c>
      <c r="H40" s="17">
        <f t="shared" si="20"/>
        <v>1.0386696481039071E-2</v>
      </c>
      <c r="I40" s="17">
        <f t="shared" si="20"/>
        <v>1.6818155614058528E-2</v>
      </c>
      <c r="J40" s="17">
        <f t="shared" si="20"/>
        <v>3.0926709856475609E-2</v>
      </c>
      <c r="K40" s="17">
        <f t="shared" si="20"/>
        <v>4.949234552232884E-2</v>
      </c>
      <c r="L40" s="17">
        <f t="shared" si="20"/>
        <v>5.8349537092605486E-2</v>
      </c>
      <c r="M40" s="17">
        <f t="shared" si="20"/>
        <v>7.1327149381672283E-2</v>
      </c>
      <c r="N40" s="17">
        <f t="shared" si="20"/>
        <v>7.498298878880183E-2</v>
      </c>
      <c r="O40" s="17">
        <f t="shared" si="20"/>
        <v>8.1276251428199719E-2</v>
      </c>
      <c r="P40" s="17">
        <f t="shared" si="20"/>
        <v>8.6963462002856762E-2</v>
      </c>
      <c r="Q40" s="17">
        <f t="shared" si="20"/>
        <v>9.4645680964617229E-2</v>
      </c>
      <c r="R40" s="17">
        <f t="shared" si="20"/>
        <v>0.10023838595267165</v>
      </c>
      <c r="S40" s="17">
        <f t="shared" si="20"/>
        <v>0.10965611525922814</v>
      </c>
      <c r="T40" s="17">
        <f t="shared" si="20"/>
        <v>0.11189555905351467</v>
      </c>
      <c r="U40" s="17">
        <f t="shared" si="20"/>
        <v>0.12289991670874389</v>
      </c>
      <c r="V40" s="17">
        <f t="shared" si="20"/>
        <v>0.12079932894115997</v>
      </c>
      <c r="W40" s="17">
        <f t="shared" si="20"/>
        <v>0.10483051144529743</v>
      </c>
      <c r="X40" s="17">
        <f t="shared" si="20"/>
        <v>0.10840498986682778</v>
      </c>
      <c r="Y40" s="17">
        <f t="shared" si="20"/>
        <v>0.10543732475930279</v>
      </c>
      <c r="Z40" s="17">
        <f t="shared" si="20"/>
        <v>0.10614505116395767</v>
      </c>
      <c r="AA40" s="17">
        <f t="shared" si="20"/>
        <v>0.10776347437548983</v>
      </c>
      <c r="AB40" s="17">
        <f t="shared" si="20"/>
        <v>0.10650622271335664</v>
      </c>
      <c r="AC40" s="17">
        <f t="shared" si="20"/>
        <v>0.10700723471569451</v>
      </c>
      <c r="AD40" s="17">
        <f t="shared" si="20"/>
        <v>0.10385454678818329</v>
      </c>
      <c r="AE40" s="17">
        <f t="shared" si="20"/>
        <v>9.9148792543034103E-2</v>
      </c>
      <c r="AF40" s="17">
        <f t="shared" si="20"/>
        <v>9.8627723344551388E-2</v>
      </c>
      <c r="AG40" s="17">
        <f t="shared" si="20"/>
        <v>8.7582196313662486E-2</v>
      </c>
      <c r="AH40" s="17">
        <f t="shared" si="20"/>
        <v>8.683595753167106E-2</v>
      </c>
      <c r="AI40" s="17">
        <f t="shared" si="20"/>
        <v>9.9841445019012376E-2</v>
      </c>
      <c r="AJ40" s="17">
        <f>(AJ18/AV18)-1</f>
        <v>9.8003603252665883E-2</v>
      </c>
    </row>
    <row r="41" spans="1:48" x14ac:dyDescent="0.25">
      <c r="A41" s="11"/>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row>
    <row r="42" spans="1:48" ht="21" x14ac:dyDescent="0.25">
      <c r="A42" s="20" t="s">
        <v>146</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row>
    <row r="43" spans="1:48" s="27" customFormat="1" x14ac:dyDescent="0.25">
      <c r="A43" s="28" t="s">
        <v>85</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row>
    <row r="44" spans="1:48" x14ac:dyDescent="0.25">
      <c r="A44" s="11" t="s">
        <v>152</v>
      </c>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row>
    <row r="45" spans="1:48" x14ac:dyDescent="0.25">
      <c r="A45" s="11" t="s">
        <v>45</v>
      </c>
      <c r="B45" s="8">
        <v>1421.4</v>
      </c>
      <c r="C45" s="8">
        <v>1750.8</v>
      </c>
      <c r="D45" s="8">
        <v>1379.6</v>
      </c>
      <c r="E45" s="8">
        <v>1366.6</v>
      </c>
      <c r="F45" s="8">
        <v>1695.7</v>
      </c>
      <c r="G45" s="8">
        <v>1348.4</v>
      </c>
      <c r="H45" s="8">
        <v>1343.4</v>
      </c>
      <c r="I45" s="8">
        <v>1674.7</v>
      </c>
      <c r="J45" s="8">
        <v>1334.9</v>
      </c>
      <c r="K45" s="8">
        <v>1330.7</v>
      </c>
      <c r="L45" s="8">
        <v>1657.7</v>
      </c>
      <c r="M45" s="8">
        <v>1323.8</v>
      </c>
      <c r="N45" s="8">
        <v>1322</v>
      </c>
      <c r="O45" s="8">
        <v>1648.8</v>
      </c>
      <c r="P45" s="8">
        <v>1315.5</v>
      </c>
      <c r="Q45" s="8">
        <v>1313</v>
      </c>
      <c r="R45" s="8">
        <v>1639.4</v>
      </c>
      <c r="S45" s="8">
        <v>1307.4000000000001</v>
      </c>
      <c r="T45" s="8">
        <v>1300.9000000000001</v>
      </c>
      <c r="U45" s="8">
        <v>1612</v>
      </c>
      <c r="V45" s="8">
        <v>1273.8</v>
      </c>
      <c r="W45" s="8">
        <v>1260.9000000000001</v>
      </c>
      <c r="X45" s="8">
        <v>1563.5</v>
      </c>
      <c r="Y45" s="8">
        <v>1245.5</v>
      </c>
      <c r="Z45" s="8">
        <v>1243.3</v>
      </c>
      <c r="AA45" s="8">
        <v>1551.4</v>
      </c>
      <c r="AB45" s="8">
        <v>1236</v>
      </c>
      <c r="AC45" s="8">
        <v>1233.3</v>
      </c>
      <c r="AD45" s="8">
        <v>1532.3</v>
      </c>
      <c r="AE45" s="8">
        <v>1220.4000000000001</v>
      </c>
      <c r="AF45" s="8">
        <v>1208.5999999999999</v>
      </c>
      <c r="AG45" s="8">
        <v>1490</v>
      </c>
      <c r="AH45" s="8">
        <v>1190.5999999999999</v>
      </c>
      <c r="AI45" s="8">
        <v>1179.2</v>
      </c>
      <c r="AJ45" s="8">
        <v>1458.9</v>
      </c>
      <c r="AK45" s="8">
        <v>1452.7</v>
      </c>
      <c r="AL45" s="8">
        <v>1158.5</v>
      </c>
      <c r="AM45" s="8">
        <v>1441.4</v>
      </c>
      <c r="AN45" s="8">
        <v>1146</v>
      </c>
      <c r="AO45" s="8">
        <v>1139.5999999999999</v>
      </c>
      <c r="AP45" s="8">
        <v>1417.8</v>
      </c>
      <c r="AQ45" s="8">
        <v>1128.4000000000001</v>
      </c>
      <c r="AR45" s="8">
        <v>1121.2</v>
      </c>
      <c r="AS45" s="8">
        <v>1390</v>
      </c>
      <c r="AT45" s="8">
        <v>1098.3</v>
      </c>
      <c r="AU45" s="8">
        <v>1079.3</v>
      </c>
      <c r="AV45" s="8">
        <v>1330.9</v>
      </c>
    </row>
    <row r="46" spans="1:48" x14ac:dyDescent="0.25">
      <c r="A46" s="11" t="s">
        <v>147</v>
      </c>
      <c r="B46" s="8">
        <v>1652.6</v>
      </c>
      <c r="C46" s="8">
        <v>2030</v>
      </c>
      <c r="D46" s="8">
        <v>1589.1</v>
      </c>
      <c r="E46" s="8">
        <v>1562.7</v>
      </c>
      <c r="F46" s="8">
        <v>1925.6</v>
      </c>
      <c r="G46" s="8">
        <v>1522.3</v>
      </c>
      <c r="H46" s="8">
        <v>1510.1</v>
      </c>
      <c r="I46" s="8">
        <v>1873.5</v>
      </c>
      <c r="J46" s="8">
        <v>1486.8</v>
      </c>
      <c r="K46" s="8">
        <v>1475.2</v>
      </c>
      <c r="L46" s="8">
        <v>1831.6</v>
      </c>
      <c r="M46" s="8">
        <v>1461.3</v>
      </c>
      <c r="N46" s="8">
        <v>1458.1</v>
      </c>
      <c r="O46" s="8">
        <v>1817.1</v>
      </c>
      <c r="P46" s="8">
        <v>1446.1</v>
      </c>
      <c r="Q46" s="8">
        <v>1441.4</v>
      </c>
      <c r="R46" s="8">
        <v>1802.7</v>
      </c>
      <c r="S46" s="8">
        <v>1434.9</v>
      </c>
      <c r="T46" s="8">
        <v>1429.3</v>
      </c>
      <c r="U46" s="8">
        <v>1769.7</v>
      </c>
      <c r="V46" s="8">
        <v>1380.3</v>
      </c>
      <c r="W46" s="8">
        <v>1364.3</v>
      </c>
      <c r="X46" s="8">
        <v>1687.1</v>
      </c>
      <c r="Y46" s="8">
        <v>1342.4</v>
      </c>
      <c r="Z46" s="8">
        <v>1340.8</v>
      </c>
      <c r="AA46" s="8">
        <v>1677.3</v>
      </c>
      <c r="AB46" s="8">
        <v>1334.7</v>
      </c>
      <c r="AC46" s="8">
        <v>1330.3</v>
      </c>
      <c r="AD46" s="8">
        <v>1644.8</v>
      </c>
      <c r="AE46" s="8">
        <v>1307.0999999999999</v>
      </c>
      <c r="AF46" s="8">
        <v>1287.8</v>
      </c>
      <c r="AG46" s="8">
        <v>1573</v>
      </c>
      <c r="AH46" s="8">
        <v>1247.5</v>
      </c>
      <c r="AI46" s="8">
        <v>1229.5</v>
      </c>
      <c r="AJ46" s="8">
        <v>1515.4</v>
      </c>
      <c r="AK46" s="8">
        <v>1505.3</v>
      </c>
      <c r="AL46" s="8">
        <v>1198.5999999999999</v>
      </c>
      <c r="AM46" s="8">
        <v>1488.3</v>
      </c>
      <c r="AN46" s="8">
        <v>1180.2</v>
      </c>
      <c r="AO46" s="8">
        <v>1170.0999999999999</v>
      </c>
      <c r="AP46" s="8">
        <v>1453.7</v>
      </c>
      <c r="AQ46" s="8">
        <v>1157.0999999999999</v>
      </c>
      <c r="AR46" s="8">
        <v>1149.9000000000001</v>
      </c>
      <c r="AS46" s="8">
        <v>1426.4</v>
      </c>
      <c r="AT46" s="8">
        <v>1124.5</v>
      </c>
      <c r="AU46" s="8">
        <v>1098.5</v>
      </c>
      <c r="AV46" s="8">
        <v>1353.3</v>
      </c>
    </row>
    <row r="47" spans="1:48" x14ac:dyDescent="0.25">
      <c r="A47" s="11" t="s">
        <v>148</v>
      </c>
      <c r="B47" s="12">
        <f>SUM(B45:B46)</f>
        <v>3074</v>
      </c>
      <c r="C47" s="12">
        <f t="shared" ref="C47:AV47" si="21">SUM(C45:C46)</f>
        <v>3780.8</v>
      </c>
      <c r="D47" s="12">
        <f t="shared" si="21"/>
        <v>2968.7</v>
      </c>
      <c r="E47" s="12">
        <f t="shared" si="21"/>
        <v>2929.3</v>
      </c>
      <c r="F47" s="12">
        <f t="shared" si="21"/>
        <v>3621.3</v>
      </c>
      <c r="G47" s="12">
        <f t="shared" si="21"/>
        <v>2870.7</v>
      </c>
      <c r="H47" s="12">
        <f t="shared" si="21"/>
        <v>2853.5</v>
      </c>
      <c r="I47" s="12">
        <f t="shared" si="21"/>
        <v>3548.2</v>
      </c>
      <c r="J47" s="12">
        <f t="shared" si="21"/>
        <v>2821.7</v>
      </c>
      <c r="K47" s="12">
        <f t="shared" si="21"/>
        <v>2805.9</v>
      </c>
      <c r="L47" s="12">
        <f t="shared" si="21"/>
        <v>3489.3</v>
      </c>
      <c r="M47" s="12">
        <f t="shared" si="21"/>
        <v>2785.1</v>
      </c>
      <c r="N47" s="12">
        <f t="shared" si="21"/>
        <v>2780.1</v>
      </c>
      <c r="O47" s="12">
        <f t="shared" si="21"/>
        <v>3465.8999999999996</v>
      </c>
      <c r="P47" s="12">
        <f t="shared" si="21"/>
        <v>2761.6</v>
      </c>
      <c r="Q47" s="12">
        <f t="shared" si="21"/>
        <v>2754.4</v>
      </c>
      <c r="R47" s="12">
        <f t="shared" si="21"/>
        <v>3442.1000000000004</v>
      </c>
      <c r="S47" s="12">
        <f t="shared" si="21"/>
        <v>2742.3</v>
      </c>
      <c r="T47" s="12">
        <f t="shared" si="21"/>
        <v>2730.2</v>
      </c>
      <c r="U47" s="12">
        <f t="shared" si="21"/>
        <v>3381.7</v>
      </c>
      <c r="V47" s="12">
        <f t="shared" si="21"/>
        <v>2654.1</v>
      </c>
      <c r="W47" s="12">
        <f t="shared" si="21"/>
        <v>2625.2</v>
      </c>
      <c r="X47" s="12">
        <f t="shared" si="21"/>
        <v>3250.6</v>
      </c>
      <c r="Y47" s="12">
        <f t="shared" si="21"/>
        <v>2587.9</v>
      </c>
      <c r="Z47" s="12">
        <f t="shared" si="21"/>
        <v>2584.1</v>
      </c>
      <c r="AA47" s="12">
        <f t="shared" si="21"/>
        <v>3228.7</v>
      </c>
      <c r="AB47" s="12">
        <f t="shared" si="21"/>
        <v>2570.6999999999998</v>
      </c>
      <c r="AC47" s="12">
        <f t="shared" si="21"/>
        <v>2563.6</v>
      </c>
      <c r="AD47" s="12">
        <f t="shared" si="21"/>
        <v>3177.1</v>
      </c>
      <c r="AE47" s="12">
        <f t="shared" si="21"/>
        <v>2527.5</v>
      </c>
      <c r="AF47" s="12">
        <f t="shared" si="21"/>
        <v>2496.3999999999996</v>
      </c>
      <c r="AG47" s="12">
        <f t="shared" si="21"/>
        <v>3063</v>
      </c>
      <c r="AH47" s="12">
        <f t="shared" si="21"/>
        <v>2438.1</v>
      </c>
      <c r="AI47" s="12">
        <f t="shared" si="21"/>
        <v>2408.6999999999998</v>
      </c>
      <c r="AJ47" s="12">
        <f t="shared" si="21"/>
        <v>2974.3</v>
      </c>
      <c r="AK47" s="12">
        <f t="shared" si="21"/>
        <v>2958</v>
      </c>
      <c r="AL47" s="12">
        <v>2357.1</v>
      </c>
      <c r="AM47" s="12">
        <f t="shared" si="21"/>
        <v>2929.7</v>
      </c>
      <c r="AN47" s="12">
        <f t="shared" si="21"/>
        <v>2326.1999999999998</v>
      </c>
      <c r="AO47" s="12">
        <f t="shared" si="21"/>
        <v>2309.6999999999998</v>
      </c>
      <c r="AP47" s="12">
        <f t="shared" si="21"/>
        <v>2871.5</v>
      </c>
      <c r="AQ47" s="12">
        <v>2285.5</v>
      </c>
      <c r="AR47" s="12">
        <f t="shared" si="21"/>
        <v>2271.1000000000004</v>
      </c>
      <c r="AS47" s="12">
        <f t="shared" si="21"/>
        <v>2816.4</v>
      </c>
      <c r="AT47" s="12">
        <f t="shared" si="21"/>
        <v>2222.8000000000002</v>
      </c>
      <c r="AU47" s="12">
        <f t="shared" si="21"/>
        <v>2177.8000000000002</v>
      </c>
      <c r="AV47" s="12">
        <f t="shared" si="21"/>
        <v>2684.2</v>
      </c>
    </row>
    <row r="48" spans="1:48" x14ac:dyDescent="0.25">
      <c r="A48" s="11" t="s">
        <v>149</v>
      </c>
      <c r="B48" s="8">
        <v>725.3</v>
      </c>
      <c r="C48" s="8">
        <v>898.2</v>
      </c>
      <c r="D48" s="8">
        <v>719.2</v>
      </c>
      <c r="E48" s="8">
        <v>717.2</v>
      </c>
      <c r="F48" s="8">
        <v>881.5</v>
      </c>
      <c r="G48" s="8">
        <v>719.5</v>
      </c>
      <c r="H48" s="8">
        <v>710.7</v>
      </c>
      <c r="I48" s="8">
        <v>874.2</v>
      </c>
      <c r="J48" s="8">
        <v>685.7</v>
      </c>
      <c r="K48" s="8">
        <v>647.79999999999995</v>
      </c>
      <c r="L48" s="8">
        <v>793.7</v>
      </c>
      <c r="M48" s="8">
        <v>642.4</v>
      </c>
      <c r="N48" s="8">
        <v>630.6</v>
      </c>
      <c r="O48" s="8">
        <v>755.2</v>
      </c>
      <c r="P48" s="8">
        <v>600.6</v>
      </c>
      <c r="Q48" s="8">
        <v>581.70000000000005</v>
      </c>
      <c r="R48" s="8">
        <v>695.1</v>
      </c>
      <c r="S48" s="8">
        <v>544.4</v>
      </c>
      <c r="T48" s="8">
        <v>486.4</v>
      </c>
      <c r="U48" s="8">
        <v>591</v>
      </c>
      <c r="V48" s="8">
        <v>450.9</v>
      </c>
      <c r="W48" s="8">
        <v>431</v>
      </c>
      <c r="X48" s="8">
        <v>535.9</v>
      </c>
      <c r="Y48" s="8">
        <v>418.1</v>
      </c>
      <c r="Z48" s="8">
        <v>415.5</v>
      </c>
      <c r="AA48" s="8">
        <v>509.4</v>
      </c>
      <c r="AB48" s="8">
        <v>386.4</v>
      </c>
      <c r="AC48" s="8">
        <v>374.5</v>
      </c>
      <c r="AD48" s="8">
        <v>453.9</v>
      </c>
      <c r="AE48" s="8">
        <v>354.2</v>
      </c>
      <c r="AF48" s="8">
        <v>346.8</v>
      </c>
      <c r="AG48" s="8">
        <v>428</v>
      </c>
      <c r="AH48" s="8">
        <v>353.8</v>
      </c>
      <c r="AI48" s="8">
        <v>372.6</v>
      </c>
      <c r="AJ48" s="8">
        <v>462.6</v>
      </c>
      <c r="AK48" s="8">
        <v>443</v>
      </c>
      <c r="AL48" s="8">
        <v>354.5</v>
      </c>
      <c r="AM48" s="8">
        <v>439.7</v>
      </c>
      <c r="AN48" s="8">
        <v>344.5</v>
      </c>
      <c r="AO48" s="8">
        <v>340.6</v>
      </c>
      <c r="AP48" s="8">
        <v>421.8</v>
      </c>
      <c r="AQ48" s="8">
        <v>333.5</v>
      </c>
      <c r="AR48" s="8">
        <v>330.3</v>
      </c>
      <c r="AS48" s="8">
        <v>406.7</v>
      </c>
      <c r="AT48" s="8">
        <v>319.7</v>
      </c>
      <c r="AU48" s="8">
        <v>310.8</v>
      </c>
      <c r="AV48" s="8">
        <v>382.5</v>
      </c>
    </row>
    <row r="49" spans="1:48" x14ac:dyDescent="0.25">
      <c r="A49" s="11" t="s">
        <v>150</v>
      </c>
      <c r="B49" s="8">
        <v>189.3</v>
      </c>
      <c r="C49" s="8">
        <v>193.5</v>
      </c>
      <c r="D49" s="8">
        <v>181.4</v>
      </c>
      <c r="E49" s="8">
        <v>188.6</v>
      </c>
      <c r="F49" s="8">
        <v>191</v>
      </c>
      <c r="G49" s="8">
        <v>179.7</v>
      </c>
      <c r="H49" s="8">
        <v>199.3</v>
      </c>
      <c r="I49" s="8">
        <v>191.5</v>
      </c>
      <c r="J49" s="8">
        <v>194.3</v>
      </c>
      <c r="K49" s="8">
        <v>172.2</v>
      </c>
      <c r="L49" s="8">
        <v>191.6</v>
      </c>
      <c r="M49" s="8">
        <v>185.4</v>
      </c>
      <c r="N49" s="8">
        <v>179.6</v>
      </c>
      <c r="O49" s="8">
        <v>176.2</v>
      </c>
      <c r="P49" s="8">
        <v>175</v>
      </c>
      <c r="Q49" s="8">
        <v>176.7</v>
      </c>
      <c r="R49" s="8">
        <v>174.8</v>
      </c>
      <c r="S49" s="8">
        <v>169.2</v>
      </c>
      <c r="T49" s="8">
        <v>172.2</v>
      </c>
      <c r="U49" s="8">
        <v>160.9</v>
      </c>
      <c r="V49" s="8">
        <v>164.9</v>
      </c>
      <c r="W49" s="8">
        <v>146.30000000000001</v>
      </c>
      <c r="X49" s="8">
        <v>161.30000000000001</v>
      </c>
      <c r="Y49" s="8">
        <v>158.19999999999999</v>
      </c>
      <c r="Z49" s="8">
        <v>151.19999999999999</v>
      </c>
      <c r="AA49" s="8">
        <v>155.69999999999999</v>
      </c>
      <c r="AB49" s="8">
        <v>146.1</v>
      </c>
      <c r="AC49" s="8">
        <v>150.80000000000001</v>
      </c>
      <c r="AD49" s="8">
        <v>150.4</v>
      </c>
      <c r="AE49" s="8">
        <v>141.4</v>
      </c>
      <c r="AF49" s="8">
        <v>148</v>
      </c>
      <c r="AG49" s="8">
        <v>143.30000000000001</v>
      </c>
      <c r="AH49" s="8">
        <v>144.6</v>
      </c>
      <c r="AI49" s="8">
        <v>133.80000000000001</v>
      </c>
      <c r="AJ49" s="8">
        <v>142.19999999999999</v>
      </c>
      <c r="AK49" s="8">
        <v>141.69999999999999</v>
      </c>
      <c r="AL49" s="8">
        <v>134.19999999999999</v>
      </c>
      <c r="AM49" s="8">
        <v>137.80000000000001</v>
      </c>
      <c r="AN49" s="8">
        <v>130.19999999999999</v>
      </c>
      <c r="AO49" s="8">
        <v>134.1</v>
      </c>
      <c r="AP49" s="8">
        <v>133.6</v>
      </c>
      <c r="AQ49" s="8">
        <v>126</v>
      </c>
      <c r="AR49" s="8">
        <v>130</v>
      </c>
      <c r="AS49" s="8">
        <v>125.2</v>
      </c>
      <c r="AT49" s="8">
        <v>126.1</v>
      </c>
      <c r="AU49" s="8">
        <v>112.7</v>
      </c>
      <c r="AV49" s="8">
        <v>123.2</v>
      </c>
    </row>
    <row r="50" spans="1:48" x14ac:dyDescent="0.25">
      <c r="A50" s="11" t="s">
        <v>153</v>
      </c>
      <c r="B50" s="8">
        <v>0.2</v>
      </c>
      <c r="C50" s="8">
        <v>0.2</v>
      </c>
      <c r="D50" s="8">
        <v>0.2</v>
      </c>
      <c r="E50" s="8">
        <v>0.3</v>
      </c>
      <c r="F50" s="8">
        <v>0.2</v>
      </c>
      <c r="G50" s="8">
        <v>0.3</v>
      </c>
      <c r="H50" s="8">
        <v>0.1</v>
      </c>
      <c r="I50" s="8">
        <v>0.2</v>
      </c>
      <c r="J50" s="8">
        <v>0.3</v>
      </c>
      <c r="K50" s="8">
        <v>0.2</v>
      </c>
      <c r="L50" s="8">
        <v>0.2</v>
      </c>
      <c r="M50" s="8">
        <v>0.3</v>
      </c>
      <c r="N50" s="8">
        <v>0.1</v>
      </c>
      <c r="O50" s="8">
        <v>0.5</v>
      </c>
      <c r="P50" s="8">
        <v>0.3</v>
      </c>
      <c r="Q50" s="8">
        <v>1</v>
      </c>
      <c r="R50" s="8">
        <v>1.5</v>
      </c>
      <c r="S50" s="8">
        <v>4</v>
      </c>
      <c r="T50" s="8">
        <v>0</v>
      </c>
      <c r="U50" s="8">
        <v>0</v>
      </c>
      <c r="V50" s="8">
        <v>0</v>
      </c>
      <c r="W50" s="8">
        <v>0</v>
      </c>
      <c r="X50" s="8">
        <v>0</v>
      </c>
      <c r="Y50" s="8">
        <v>0</v>
      </c>
      <c r="Z50" s="8">
        <v>0</v>
      </c>
      <c r="AA50" s="8">
        <v>0</v>
      </c>
      <c r="AB50" s="8">
        <v>0</v>
      </c>
      <c r="AC50" s="8">
        <v>0</v>
      </c>
      <c r="AD50" s="8">
        <v>0</v>
      </c>
      <c r="AE50" s="8">
        <v>0</v>
      </c>
      <c r="AF50" s="8">
        <v>0</v>
      </c>
      <c r="AG50" s="8">
        <v>0</v>
      </c>
      <c r="AH50" s="8">
        <v>0</v>
      </c>
      <c r="AI50" s="8">
        <v>0</v>
      </c>
      <c r="AJ50" s="8">
        <v>0</v>
      </c>
      <c r="AK50" s="8">
        <v>0</v>
      </c>
      <c r="AL50" s="8">
        <v>0</v>
      </c>
      <c r="AM50" s="8">
        <v>0</v>
      </c>
      <c r="AN50" s="8">
        <v>0</v>
      </c>
      <c r="AO50" s="8">
        <v>0</v>
      </c>
      <c r="AP50" s="8">
        <v>0</v>
      </c>
      <c r="AQ50" s="8">
        <v>0</v>
      </c>
      <c r="AR50" s="8">
        <v>0</v>
      </c>
      <c r="AS50" s="8">
        <v>0</v>
      </c>
      <c r="AT50" s="8">
        <v>0</v>
      </c>
      <c r="AU50" s="8">
        <v>0</v>
      </c>
      <c r="AV50" s="8">
        <v>0</v>
      </c>
    </row>
    <row r="51" spans="1:48" ht="20" thickBot="1" x14ac:dyDescent="0.3">
      <c r="A51" s="10" t="s">
        <v>151</v>
      </c>
      <c r="B51" s="13">
        <f>SUM(B47:B50)</f>
        <v>3988.8</v>
      </c>
      <c r="C51" s="13">
        <f t="shared" ref="C51:AV51" si="22">SUM(C47:C50)</f>
        <v>4872.7</v>
      </c>
      <c r="D51" s="13">
        <f t="shared" si="22"/>
        <v>3869.4999999999995</v>
      </c>
      <c r="E51" s="13">
        <f t="shared" si="22"/>
        <v>3835.4</v>
      </c>
      <c r="F51" s="13">
        <f t="shared" si="22"/>
        <v>4694</v>
      </c>
      <c r="G51" s="13">
        <f t="shared" si="22"/>
        <v>3770.2</v>
      </c>
      <c r="H51" s="13">
        <f t="shared" si="22"/>
        <v>3763.6</v>
      </c>
      <c r="I51" s="13">
        <f t="shared" si="22"/>
        <v>4614.0999999999995</v>
      </c>
      <c r="J51" s="13">
        <f t="shared" si="22"/>
        <v>3702</v>
      </c>
      <c r="K51" s="13">
        <f t="shared" si="22"/>
        <v>3626.0999999999995</v>
      </c>
      <c r="L51" s="13">
        <f t="shared" si="22"/>
        <v>4474.8</v>
      </c>
      <c r="M51" s="13">
        <f t="shared" si="22"/>
        <v>3613.2000000000003</v>
      </c>
      <c r="N51" s="13">
        <f t="shared" si="22"/>
        <v>3590.3999999999996</v>
      </c>
      <c r="O51" s="13">
        <f t="shared" si="22"/>
        <v>4397.7999999999993</v>
      </c>
      <c r="P51" s="13">
        <f t="shared" si="22"/>
        <v>3537.5</v>
      </c>
      <c r="Q51" s="13">
        <f t="shared" si="22"/>
        <v>3513.8</v>
      </c>
      <c r="R51" s="13">
        <f t="shared" si="22"/>
        <v>4313.5000000000009</v>
      </c>
      <c r="S51" s="13">
        <f t="shared" si="22"/>
        <v>3459.9</v>
      </c>
      <c r="T51" s="13">
        <f t="shared" si="22"/>
        <v>3388.7999999999997</v>
      </c>
      <c r="U51" s="13">
        <f t="shared" si="22"/>
        <v>4133.5999999999995</v>
      </c>
      <c r="V51" s="13">
        <f t="shared" si="22"/>
        <v>3269.9</v>
      </c>
      <c r="W51" s="13">
        <f t="shared" si="22"/>
        <v>3202.5</v>
      </c>
      <c r="X51" s="13">
        <f t="shared" si="22"/>
        <v>3947.8</v>
      </c>
      <c r="Y51" s="13">
        <f t="shared" si="22"/>
        <v>3164.2</v>
      </c>
      <c r="Z51" s="13">
        <f t="shared" si="22"/>
        <v>3150.7999999999997</v>
      </c>
      <c r="AA51" s="13">
        <f t="shared" si="22"/>
        <v>3893.7999999999997</v>
      </c>
      <c r="AB51" s="13">
        <f t="shared" si="22"/>
        <v>3103.2</v>
      </c>
      <c r="AC51" s="13">
        <f t="shared" si="22"/>
        <v>3088.9</v>
      </c>
      <c r="AD51" s="13">
        <f t="shared" si="22"/>
        <v>3781.4</v>
      </c>
      <c r="AE51" s="13">
        <f t="shared" si="22"/>
        <v>3023.1</v>
      </c>
      <c r="AF51" s="13">
        <f t="shared" si="22"/>
        <v>2991.2</v>
      </c>
      <c r="AG51" s="13">
        <f t="shared" si="22"/>
        <v>3634.3</v>
      </c>
      <c r="AH51" s="13">
        <f t="shared" si="22"/>
        <v>2936.5</v>
      </c>
      <c r="AI51" s="13">
        <f t="shared" si="22"/>
        <v>2915.1</v>
      </c>
      <c r="AJ51" s="13">
        <f t="shared" si="22"/>
        <v>3579.1</v>
      </c>
      <c r="AK51" s="13">
        <f t="shared" si="22"/>
        <v>3542.7</v>
      </c>
      <c r="AL51" s="13">
        <f>SUM(AL47:AL50)</f>
        <v>2845.7999999999997</v>
      </c>
      <c r="AM51" s="13">
        <f t="shared" si="22"/>
        <v>3507.2</v>
      </c>
      <c r="AN51" s="13">
        <f t="shared" si="22"/>
        <v>2800.8999999999996</v>
      </c>
      <c r="AO51" s="13">
        <f t="shared" si="22"/>
        <v>2784.3999999999996</v>
      </c>
      <c r="AP51" s="13">
        <f t="shared" si="22"/>
        <v>3426.9</v>
      </c>
      <c r="AQ51" s="13">
        <f t="shared" si="22"/>
        <v>2745</v>
      </c>
      <c r="AR51" s="13">
        <f t="shared" si="22"/>
        <v>2731.4000000000005</v>
      </c>
      <c r="AS51" s="13">
        <f t="shared" si="22"/>
        <v>3348.2999999999997</v>
      </c>
      <c r="AT51" s="13">
        <f t="shared" si="22"/>
        <v>2668.6</v>
      </c>
      <c r="AU51" s="13">
        <f t="shared" si="22"/>
        <v>2601.3000000000002</v>
      </c>
      <c r="AV51" s="13">
        <f t="shared" si="22"/>
        <v>3189.8999999999996</v>
      </c>
    </row>
    <row r="52" spans="1:48" ht="20" thickTop="1" x14ac:dyDescent="0.25">
      <c r="A52" s="11"/>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row>
    <row r="53" spans="1:48" x14ac:dyDescent="0.25">
      <c r="A53" s="10" t="s">
        <v>154</v>
      </c>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row>
    <row r="54" spans="1:48" x14ac:dyDescent="0.25">
      <c r="A54" s="11" t="s">
        <v>155</v>
      </c>
      <c r="B54" s="15">
        <v>0.74199999999999999</v>
      </c>
      <c r="C54" s="15">
        <v>0.77600000000000002</v>
      </c>
      <c r="D54" s="15">
        <v>0.97199999999999998</v>
      </c>
      <c r="E54" s="15">
        <v>0.74099999999999999</v>
      </c>
      <c r="F54" s="15">
        <v>0.72199999999999998</v>
      </c>
      <c r="G54" s="15">
        <v>0.76600000000000001</v>
      </c>
      <c r="H54" s="15">
        <v>0.77700000000000002</v>
      </c>
      <c r="I54" s="15">
        <v>0.77700000000000002</v>
      </c>
      <c r="J54" s="15">
        <v>0.77300000000000002</v>
      </c>
      <c r="K54" s="15">
        <v>0.747</v>
      </c>
      <c r="L54" s="15">
        <v>0.73299999999999998</v>
      </c>
      <c r="M54" s="15">
        <v>0.76</v>
      </c>
      <c r="N54" s="15">
        <v>0.73599999999999999</v>
      </c>
      <c r="O54" s="15">
        <v>0.78900000000000003</v>
      </c>
      <c r="P54" s="15">
        <v>0.81</v>
      </c>
      <c r="Q54" s="15">
        <v>0.86499999999999999</v>
      </c>
      <c r="R54" s="15">
        <v>0.77600000000000002</v>
      </c>
      <c r="S54" s="15">
        <v>0.80100000000000005</v>
      </c>
      <c r="T54" s="15">
        <v>0.73299999999999998</v>
      </c>
      <c r="U54" s="15">
        <v>0.76200000000000001</v>
      </c>
      <c r="V54" s="15">
        <v>0.68700000000000006</v>
      </c>
      <c r="W54" s="15">
        <v>0.70799999999999996</v>
      </c>
      <c r="X54" s="15">
        <v>0.65700000000000003</v>
      </c>
      <c r="Y54" s="15">
        <v>0.63900000000000001</v>
      </c>
      <c r="Z54" s="15">
        <v>0.66400000000000003</v>
      </c>
      <c r="AA54" s="15">
        <v>0.72399999999999998</v>
      </c>
      <c r="AB54" s="15">
        <v>0.66800000000000004</v>
      </c>
      <c r="AC54" s="15">
        <v>0.71499999999999997</v>
      </c>
      <c r="AD54" s="15">
        <v>0.64300000000000002</v>
      </c>
      <c r="AE54" s="15">
        <v>0.63900000000000001</v>
      </c>
      <c r="AF54" s="15">
        <v>0.55100000000000005</v>
      </c>
      <c r="AG54" s="15">
        <v>0.48</v>
      </c>
      <c r="AH54" s="15">
        <v>0.54</v>
      </c>
      <c r="AI54" s="15">
        <v>0.69699999999999995</v>
      </c>
      <c r="AJ54" s="15">
        <v>0.70799999999999996</v>
      </c>
      <c r="AK54" s="15">
        <v>0.69899999999999995</v>
      </c>
      <c r="AL54" s="15">
        <v>0.73499999999999999</v>
      </c>
      <c r="AM54" s="15">
        <v>0.73599999999999999</v>
      </c>
      <c r="AN54" s="15">
        <v>0.71299999999999997</v>
      </c>
      <c r="AO54" s="15">
        <v>0.72899999999999998</v>
      </c>
      <c r="AP54" s="15">
        <v>0.70099999999999996</v>
      </c>
      <c r="AQ54" s="15">
        <v>0.72099999999999997</v>
      </c>
      <c r="AR54" s="15">
        <v>0.70499999999999996</v>
      </c>
      <c r="AS54" s="15">
        <v>0.66700000000000004</v>
      </c>
      <c r="AT54" s="15">
        <v>0.66700000000000004</v>
      </c>
      <c r="AU54" s="15">
        <v>0.70299999999999996</v>
      </c>
      <c r="AV54" s="15">
        <v>0.67500000000000004</v>
      </c>
    </row>
    <row r="55" spans="1:48" x14ac:dyDescent="0.25">
      <c r="A55" s="11" t="s">
        <v>156</v>
      </c>
      <c r="B55" s="15">
        <v>0.18</v>
      </c>
      <c r="C55" s="15">
        <v>0.183</v>
      </c>
      <c r="D55" s="15">
        <v>0.19</v>
      </c>
      <c r="E55" s="15">
        <v>0.19500000000000001</v>
      </c>
      <c r="F55" s="15">
        <v>0.17599999999999999</v>
      </c>
      <c r="G55" s="15">
        <v>0.18099999999999999</v>
      </c>
      <c r="H55" s="15">
        <v>0.188</v>
      </c>
      <c r="I55" s="15">
        <v>0.17799999999999999</v>
      </c>
      <c r="J55" s="15">
        <v>0.19900000000000001</v>
      </c>
      <c r="K55" s="15">
        <v>0.19</v>
      </c>
      <c r="L55" s="15">
        <v>0.19600000000000001</v>
      </c>
      <c r="M55" s="15">
        <v>0.186</v>
      </c>
      <c r="N55" s="15">
        <v>0.183</v>
      </c>
      <c r="O55" s="15">
        <v>0.183</v>
      </c>
      <c r="P55" s="15">
        <v>0.191</v>
      </c>
      <c r="Q55" s="15">
        <v>0.188</v>
      </c>
      <c r="R55" s="15">
        <v>0.191</v>
      </c>
      <c r="S55" s="15">
        <v>0.20399999999999999</v>
      </c>
      <c r="T55" s="15">
        <v>0.19800000000000001</v>
      </c>
      <c r="U55" s="15">
        <v>0.19800000000000001</v>
      </c>
      <c r="V55" s="15">
        <v>0.22</v>
      </c>
      <c r="W55" s="15">
        <v>0.20599999999999999</v>
      </c>
      <c r="X55" s="15">
        <v>0.20599999999999999</v>
      </c>
      <c r="Y55" s="15">
        <v>0.21299999999999999</v>
      </c>
      <c r="Z55" s="15">
        <v>0.20200000000000001</v>
      </c>
      <c r="AA55" s="15">
        <v>0.20200000000000001</v>
      </c>
      <c r="AB55" s="15">
        <v>0.215</v>
      </c>
      <c r="AC55" s="15">
        <v>0.21099999999999999</v>
      </c>
      <c r="AD55" s="15">
        <v>0.192</v>
      </c>
      <c r="AE55" s="15">
        <v>0.23</v>
      </c>
      <c r="AF55" s="15">
        <v>0.38600000000000001</v>
      </c>
      <c r="AG55" s="15">
        <v>0.35399999999999998</v>
      </c>
      <c r="AH55" s="15">
        <v>0.23100000000000001</v>
      </c>
      <c r="AI55" s="15">
        <v>0.20599999999999999</v>
      </c>
      <c r="AJ55" s="15">
        <v>0.21299999999999999</v>
      </c>
      <c r="AK55" s="15">
        <v>0.19500000000000001</v>
      </c>
      <c r="AL55" s="15">
        <v>0.20599999999999999</v>
      </c>
      <c r="AM55" s="15">
        <v>0.20399999999999999</v>
      </c>
      <c r="AN55" s="15">
        <v>0.21</v>
      </c>
      <c r="AO55" s="15">
        <v>0.20499999999999999</v>
      </c>
      <c r="AP55" s="15">
        <v>0.20200000000000001</v>
      </c>
      <c r="AQ55" s="15">
        <v>0.20599999999999999</v>
      </c>
      <c r="AR55" s="15">
        <v>0.21099999999999999</v>
      </c>
      <c r="AS55" s="15">
        <v>0.20699999999999999</v>
      </c>
      <c r="AT55" s="15">
        <v>0.20300000000000001</v>
      </c>
      <c r="AU55" s="15">
        <v>0.20599999999999999</v>
      </c>
      <c r="AV55" s="15">
        <v>0.21099999999999999</v>
      </c>
    </row>
    <row r="56" spans="1:48" ht="20" thickBot="1" x14ac:dyDescent="0.3">
      <c r="A56" s="10" t="s">
        <v>16</v>
      </c>
      <c r="B56" s="22">
        <f>SUM(B54:B55)</f>
        <v>0.92199999999999993</v>
      </c>
      <c r="C56" s="22">
        <f t="shared" ref="C56:AV56" si="23">SUM(C54:C55)</f>
        <v>0.95900000000000007</v>
      </c>
      <c r="D56" s="22">
        <f t="shared" si="23"/>
        <v>1.1619999999999999</v>
      </c>
      <c r="E56" s="22">
        <f t="shared" si="23"/>
        <v>0.93599999999999994</v>
      </c>
      <c r="F56" s="22">
        <f t="shared" si="23"/>
        <v>0.89799999999999991</v>
      </c>
      <c r="G56" s="22">
        <f t="shared" si="23"/>
        <v>0.94700000000000006</v>
      </c>
      <c r="H56" s="22">
        <f t="shared" si="23"/>
        <v>0.96500000000000008</v>
      </c>
      <c r="I56" s="22">
        <f t="shared" si="23"/>
        <v>0.95500000000000007</v>
      </c>
      <c r="J56" s="22">
        <f t="shared" si="23"/>
        <v>0.97199999999999998</v>
      </c>
      <c r="K56" s="22">
        <f t="shared" si="23"/>
        <v>0.93700000000000006</v>
      </c>
      <c r="L56" s="22">
        <f t="shared" si="23"/>
        <v>0.92900000000000005</v>
      </c>
      <c r="M56" s="22">
        <f t="shared" si="23"/>
        <v>0.94599999999999995</v>
      </c>
      <c r="N56" s="22">
        <f t="shared" si="23"/>
        <v>0.91900000000000004</v>
      </c>
      <c r="O56" s="22">
        <f t="shared" si="23"/>
        <v>0.97199999999999998</v>
      </c>
      <c r="P56" s="22">
        <f t="shared" si="23"/>
        <v>1.0010000000000001</v>
      </c>
      <c r="Q56" s="22">
        <f t="shared" si="23"/>
        <v>1.0529999999999999</v>
      </c>
      <c r="R56" s="22">
        <f t="shared" si="23"/>
        <v>0.96700000000000008</v>
      </c>
      <c r="S56" s="22">
        <f t="shared" si="23"/>
        <v>1.0050000000000001</v>
      </c>
      <c r="T56" s="22">
        <f t="shared" si="23"/>
        <v>0.93100000000000005</v>
      </c>
      <c r="U56" s="22">
        <f t="shared" si="23"/>
        <v>0.96</v>
      </c>
      <c r="V56" s="22">
        <f t="shared" si="23"/>
        <v>0.90700000000000003</v>
      </c>
      <c r="W56" s="22">
        <f t="shared" si="23"/>
        <v>0.91399999999999992</v>
      </c>
      <c r="X56" s="22">
        <f t="shared" si="23"/>
        <v>0.86299999999999999</v>
      </c>
      <c r="Y56" s="22">
        <f t="shared" si="23"/>
        <v>0.85199999999999998</v>
      </c>
      <c r="Z56" s="22">
        <f t="shared" si="23"/>
        <v>0.8660000000000001</v>
      </c>
      <c r="AA56" s="22">
        <f t="shared" si="23"/>
        <v>0.92599999999999993</v>
      </c>
      <c r="AB56" s="22">
        <f t="shared" si="23"/>
        <v>0.88300000000000001</v>
      </c>
      <c r="AC56" s="22">
        <f t="shared" si="23"/>
        <v>0.92599999999999993</v>
      </c>
      <c r="AD56" s="22">
        <f t="shared" si="23"/>
        <v>0.83499999999999996</v>
      </c>
      <c r="AE56" s="22">
        <f t="shared" si="23"/>
        <v>0.86899999999999999</v>
      </c>
      <c r="AF56" s="22">
        <f t="shared" si="23"/>
        <v>0.93700000000000006</v>
      </c>
      <c r="AG56" s="22">
        <f t="shared" si="23"/>
        <v>0.83399999999999996</v>
      </c>
      <c r="AH56" s="22">
        <f t="shared" si="23"/>
        <v>0.77100000000000002</v>
      </c>
      <c r="AI56" s="22">
        <f t="shared" si="23"/>
        <v>0.90299999999999991</v>
      </c>
      <c r="AJ56" s="22">
        <f t="shared" si="23"/>
        <v>0.92099999999999993</v>
      </c>
      <c r="AK56" s="22">
        <f t="shared" si="23"/>
        <v>0.89399999999999991</v>
      </c>
      <c r="AL56" s="22">
        <f t="shared" si="23"/>
        <v>0.94099999999999995</v>
      </c>
      <c r="AM56" s="22">
        <f t="shared" si="23"/>
        <v>0.94</v>
      </c>
      <c r="AN56" s="22">
        <f t="shared" si="23"/>
        <v>0.92299999999999993</v>
      </c>
      <c r="AO56" s="22">
        <f t="shared" si="23"/>
        <v>0.93399999999999994</v>
      </c>
      <c r="AP56" s="22">
        <f t="shared" si="23"/>
        <v>0.90300000000000002</v>
      </c>
      <c r="AQ56" s="22">
        <f t="shared" si="23"/>
        <v>0.92699999999999994</v>
      </c>
      <c r="AR56" s="22">
        <f t="shared" si="23"/>
        <v>0.91599999999999993</v>
      </c>
      <c r="AS56" s="22">
        <f t="shared" si="23"/>
        <v>0.874</v>
      </c>
      <c r="AT56" s="22">
        <f t="shared" si="23"/>
        <v>0.87000000000000011</v>
      </c>
      <c r="AU56" s="22">
        <f t="shared" si="23"/>
        <v>0.90899999999999992</v>
      </c>
      <c r="AV56" s="22">
        <f t="shared" si="23"/>
        <v>0.88600000000000001</v>
      </c>
    </row>
    <row r="57" spans="1:48" ht="20" thickTop="1" x14ac:dyDescent="0.25">
      <c r="A57" s="23" t="s">
        <v>157</v>
      </c>
      <c r="B57" s="24">
        <v>-1E-3</v>
      </c>
      <c r="C57" s="24">
        <v>8.9999999999999993E-3</v>
      </c>
      <c r="D57" s="24">
        <v>0.20300000000000001</v>
      </c>
      <c r="E57" s="24">
        <v>8.9999999999999993E-3</v>
      </c>
      <c r="F57" s="24">
        <v>1.4E-2</v>
      </c>
      <c r="G57" s="24">
        <v>2.8000000000000001E-2</v>
      </c>
      <c r="H57" s="24">
        <v>0.06</v>
      </c>
      <c r="I57" s="24">
        <v>4.2999999999999997E-2</v>
      </c>
      <c r="J57" s="24">
        <v>3.2000000000000001E-2</v>
      </c>
      <c r="K57" s="24">
        <v>3.0000000000000001E-3</v>
      </c>
      <c r="L57" s="24">
        <v>4.0000000000000001E-3</v>
      </c>
      <c r="M57" s="24">
        <v>2.1999999999999999E-2</v>
      </c>
      <c r="N57" s="24">
        <v>-1.4E-2</v>
      </c>
      <c r="O57" s="24">
        <v>0</v>
      </c>
      <c r="P57" s="24">
        <v>5.5E-2</v>
      </c>
      <c r="Q57" s="24">
        <v>0.123</v>
      </c>
      <c r="R57" s="24">
        <v>2.3E-2</v>
      </c>
      <c r="S57" s="24">
        <v>1.6E-2</v>
      </c>
      <c r="T57" s="24">
        <v>1.7999999999999999E-2</v>
      </c>
      <c r="U57" s="24">
        <v>5.5E-2</v>
      </c>
      <c r="V57" s="24">
        <v>0.03</v>
      </c>
      <c r="W57" s="24">
        <v>2.7E-2</v>
      </c>
      <c r="X57" s="24">
        <v>6.0000000000000001E-3</v>
      </c>
      <c r="Y57" s="24">
        <v>1E-3</v>
      </c>
      <c r="Z57" s="24">
        <v>1E-3</v>
      </c>
      <c r="AA57" s="24">
        <v>2.7E-2</v>
      </c>
      <c r="AB57" s="24">
        <v>2.5999999999999999E-2</v>
      </c>
      <c r="AC57" s="24">
        <v>5.8999999999999997E-2</v>
      </c>
      <c r="AD57" s="24">
        <v>5.0000000000000001E-3</v>
      </c>
      <c r="AE57" s="24">
        <v>0.02</v>
      </c>
      <c r="AF57" s="24">
        <v>3.9E-2</v>
      </c>
      <c r="AG57" s="24">
        <v>6.3E-2</v>
      </c>
      <c r="AH57" s="24">
        <v>1.4999999999999999E-2</v>
      </c>
      <c r="AI57" s="24">
        <v>4.0000000000000001E-3</v>
      </c>
      <c r="AJ57" s="24">
        <v>7.0000000000000001E-3</v>
      </c>
      <c r="AK57" s="24"/>
      <c r="AL57" s="24"/>
      <c r="AM57" s="24"/>
      <c r="AN57" s="24"/>
      <c r="AO57" s="24"/>
      <c r="AP57" s="24"/>
      <c r="AQ57" s="24"/>
      <c r="AR57" s="24"/>
      <c r="AS57" s="24"/>
      <c r="AT57" s="24"/>
      <c r="AU57" s="24"/>
      <c r="AV57" s="24"/>
    </row>
    <row r="58" spans="1:48" x14ac:dyDescent="0.25">
      <c r="A58" s="23" t="s">
        <v>158</v>
      </c>
      <c r="B58" s="24">
        <f>B56-B57</f>
        <v>0.92299999999999993</v>
      </c>
      <c r="C58" s="24">
        <f t="shared" ref="C58:AJ58" si="24">C56-C57</f>
        <v>0.95000000000000007</v>
      </c>
      <c r="D58" s="24">
        <f t="shared" si="24"/>
        <v>0.95899999999999985</v>
      </c>
      <c r="E58" s="24">
        <f t="shared" si="24"/>
        <v>0.92699999999999994</v>
      </c>
      <c r="F58" s="24">
        <f t="shared" si="24"/>
        <v>0.8839999999999999</v>
      </c>
      <c r="G58" s="24">
        <f t="shared" si="24"/>
        <v>0.91900000000000004</v>
      </c>
      <c r="H58" s="24">
        <f t="shared" si="24"/>
        <v>0.90500000000000003</v>
      </c>
      <c r="I58" s="24">
        <f t="shared" si="24"/>
        <v>0.91200000000000003</v>
      </c>
      <c r="J58" s="24">
        <f t="shared" si="24"/>
        <v>0.94</v>
      </c>
      <c r="K58" s="24">
        <f t="shared" si="24"/>
        <v>0.93400000000000005</v>
      </c>
      <c r="L58" s="24">
        <f t="shared" si="24"/>
        <v>0.92500000000000004</v>
      </c>
      <c r="M58" s="24">
        <f t="shared" si="24"/>
        <v>0.92399999999999993</v>
      </c>
      <c r="N58" s="24">
        <f t="shared" si="24"/>
        <v>0.93300000000000005</v>
      </c>
      <c r="O58" s="24">
        <f t="shared" si="24"/>
        <v>0.97199999999999998</v>
      </c>
      <c r="P58" s="24">
        <f t="shared" si="24"/>
        <v>0.94600000000000006</v>
      </c>
      <c r="Q58" s="24">
        <f t="shared" si="24"/>
        <v>0.92999999999999994</v>
      </c>
      <c r="R58" s="24">
        <f t="shared" si="24"/>
        <v>0.94400000000000006</v>
      </c>
      <c r="S58" s="24">
        <f t="shared" si="24"/>
        <v>0.9890000000000001</v>
      </c>
      <c r="T58" s="24">
        <f t="shared" si="24"/>
        <v>0.91300000000000003</v>
      </c>
      <c r="U58" s="24">
        <f t="shared" si="24"/>
        <v>0.90499999999999992</v>
      </c>
      <c r="V58" s="24">
        <f t="shared" si="24"/>
        <v>0.877</v>
      </c>
      <c r="W58" s="24">
        <f t="shared" si="24"/>
        <v>0.8869999999999999</v>
      </c>
      <c r="X58" s="24">
        <f t="shared" si="24"/>
        <v>0.85699999999999998</v>
      </c>
      <c r="Y58" s="24">
        <f t="shared" si="24"/>
        <v>0.85099999999999998</v>
      </c>
      <c r="Z58" s="24">
        <f t="shared" si="24"/>
        <v>0.8650000000000001</v>
      </c>
      <c r="AA58" s="24">
        <f t="shared" si="24"/>
        <v>0.89899999999999991</v>
      </c>
      <c r="AB58" s="24">
        <f t="shared" si="24"/>
        <v>0.85699999999999998</v>
      </c>
      <c r="AC58" s="24">
        <f t="shared" si="24"/>
        <v>0.86699999999999999</v>
      </c>
      <c r="AD58" s="24">
        <f t="shared" si="24"/>
        <v>0.83</v>
      </c>
      <c r="AE58" s="24">
        <f t="shared" si="24"/>
        <v>0.84899999999999998</v>
      </c>
      <c r="AF58" s="24">
        <f t="shared" si="24"/>
        <v>0.89800000000000002</v>
      </c>
      <c r="AG58" s="24">
        <f t="shared" si="24"/>
        <v>0.77099999999999991</v>
      </c>
      <c r="AH58" s="24">
        <f t="shared" si="24"/>
        <v>0.75600000000000001</v>
      </c>
      <c r="AI58" s="24">
        <f t="shared" si="24"/>
        <v>0.89899999999999991</v>
      </c>
      <c r="AJ58" s="24">
        <f t="shared" si="24"/>
        <v>0.91399999999999992</v>
      </c>
      <c r="AK58" s="24"/>
      <c r="AL58" s="24"/>
      <c r="AM58" s="24"/>
      <c r="AN58" s="24"/>
      <c r="AO58" s="24"/>
      <c r="AP58" s="24"/>
      <c r="AQ58" s="24"/>
      <c r="AR58" s="24"/>
      <c r="AS58" s="24"/>
      <c r="AT58" s="24"/>
      <c r="AU58" s="24"/>
      <c r="AV58" s="24"/>
    </row>
    <row r="59" spans="1:48" x14ac:dyDescent="0.25">
      <c r="A59" s="11"/>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row>
    <row r="60" spans="1:48" x14ac:dyDescent="0.25">
      <c r="A60" s="53"/>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row>
    <row r="61" spans="1:48" x14ac:dyDescent="0.25">
      <c r="A61" s="54"/>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15"/>
    </row>
    <row r="62" spans="1:48" x14ac:dyDescent="0.25">
      <c r="A62" s="11"/>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15"/>
    </row>
    <row r="63" spans="1:48" x14ac:dyDescent="0.25">
      <c r="A63" s="11"/>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row>
    <row r="64" spans="1:48" x14ac:dyDescent="0.25">
      <c r="A64" s="10"/>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row>
    <row r="65" spans="1:36" x14ac:dyDescent="0.25">
      <c r="A65" s="11"/>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row>
    <row r="66" spans="1:36" x14ac:dyDescent="0.25">
      <c r="A66" s="11"/>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row>
    <row r="67" spans="1:36" x14ac:dyDescent="0.25">
      <c r="A67" s="11"/>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row>
    <row r="68" spans="1:36" x14ac:dyDescent="0.25">
      <c r="A68" s="11"/>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row>
    <row r="69" spans="1:36" x14ac:dyDescent="0.25">
      <c r="A69" s="11"/>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row>
    <row r="70" spans="1:36" x14ac:dyDescent="0.25">
      <c r="A70" s="11"/>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row>
    <row r="71" spans="1:36" x14ac:dyDescent="0.25">
      <c r="A71" s="11"/>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row>
    <row r="72" spans="1:36" x14ac:dyDescent="0.25">
      <c r="A72" s="11"/>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row>
    <row r="73" spans="1:36" x14ac:dyDescent="0.25">
      <c r="A73" s="11"/>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row>
    <row r="74" spans="1:36" x14ac:dyDescent="0.25">
      <c r="A74" s="11"/>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row>
    <row r="75" spans="1:36" x14ac:dyDescent="0.25">
      <c r="A75" s="11"/>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row>
    <row r="76" spans="1:36" x14ac:dyDescent="0.25">
      <c r="A76" s="11"/>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row>
    <row r="77" spans="1:36" x14ac:dyDescent="0.25">
      <c r="A77" s="11"/>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row>
    <row r="78" spans="1:36" x14ac:dyDescent="0.25">
      <c r="A78" s="11"/>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row>
    <row r="79" spans="1:36" x14ac:dyDescent="0.25">
      <c r="A79" s="11"/>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row>
    <row r="80" spans="1:36" x14ac:dyDescent="0.25">
      <c r="A80" s="11"/>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row>
    <row r="81" spans="1:35" x14ac:dyDescent="0.25">
      <c r="A81" s="11"/>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row>
    <row r="82" spans="1:35" x14ac:dyDescent="0.25">
      <c r="A82" s="11"/>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row>
    <row r="83" spans="1:35" x14ac:dyDescent="0.25">
      <c r="A83" s="11"/>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row>
    <row r="84" spans="1:35" x14ac:dyDescent="0.25">
      <c r="A84" s="11"/>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row>
    <row r="85" spans="1:35" x14ac:dyDescent="0.25">
      <c r="A85" s="11"/>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row>
    <row r="86" spans="1:35" x14ac:dyDescent="0.25">
      <c r="A86" s="11"/>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row>
    <row r="87" spans="1:35" x14ac:dyDescent="0.25">
      <c r="A87" s="11"/>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row>
    <row r="88" spans="1:35" x14ac:dyDescent="0.25">
      <c r="A88" s="11"/>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row>
    <row r="89" spans="1:35" x14ac:dyDescent="0.25">
      <c r="A89" s="11"/>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row>
    <row r="90" spans="1:35" x14ac:dyDescent="0.25">
      <c r="A90" s="11"/>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row>
    <row r="91" spans="1:35" x14ac:dyDescent="0.25">
      <c r="A91" s="11"/>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row>
    <row r="92" spans="1:35" x14ac:dyDescent="0.25">
      <c r="A92" s="11"/>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row>
    <row r="93" spans="1:35" x14ac:dyDescent="0.25">
      <c r="A93" s="11"/>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row>
    <row r="94" spans="1:35" x14ac:dyDescent="0.25">
      <c r="A94" s="11"/>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row>
    <row r="95" spans="1:35" x14ac:dyDescent="0.25">
      <c r="A95" s="11"/>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row>
    <row r="96" spans="1:35" x14ac:dyDescent="0.25">
      <c r="A96" s="11"/>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row>
    <row r="97" spans="1:35" x14ac:dyDescent="0.25">
      <c r="A97" s="11"/>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row>
    <row r="98" spans="1:35" x14ac:dyDescent="0.25">
      <c r="A98" s="11"/>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row>
    <row r="99" spans="1:35" x14ac:dyDescent="0.25">
      <c r="A99" s="11"/>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row>
    <row r="100" spans="1:35"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row>
    <row r="101" spans="1:35"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row>
    <row r="102" spans="1:35"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row>
    <row r="103" spans="1:35"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row>
    <row r="104" spans="1:35"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row>
    <row r="105" spans="1:35"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row>
    <row r="106" spans="1:35"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row>
    <row r="107" spans="1:35"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row>
    <row r="108" spans="1:35"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row>
  </sheetData>
  <mergeCells count="5">
    <mergeCell ref="B6:L6"/>
    <mergeCell ref="M6:X6"/>
    <mergeCell ref="Y6:AJ6"/>
    <mergeCell ref="AK6:AV6"/>
    <mergeCell ref="A6:A7"/>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TERMS OF USE</vt:lpstr>
      <vt:lpstr>Balance Sheet (Annual)</vt:lpstr>
      <vt:lpstr>Operating History (Annual)</vt:lpstr>
      <vt:lpstr>Cash Flow (Annual)</vt:lpstr>
      <vt:lpstr>Segment Analysis (Annual)</vt:lpstr>
      <vt:lpstr>Investment Portfolio (Annual)</vt:lpstr>
      <vt:lpstr>GEICO vs. Progressive</vt:lpstr>
      <vt:lpstr>Monthly Data Series</vt:lpstr>
    </vt:vector>
  </TitlesOfParts>
  <Manager/>
  <Company>The Rational Walk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Progressive Corporation</dc:title>
  <dc:subject/>
  <dc:creator>The Rational Walk LLC</dc:creator>
  <cp:keywords/>
  <dc:description/>
  <cp:lastModifiedBy>The Rational Walk LLC</cp:lastModifiedBy>
  <cp:lastPrinted>2022-12-15T21:25:38Z</cp:lastPrinted>
  <dcterms:created xsi:type="dcterms:W3CDTF">2011-03-24T14:18:53Z</dcterms:created>
  <dcterms:modified xsi:type="dcterms:W3CDTF">2022-12-21T11:12:09Z</dcterms:modified>
  <cp:category/>
</cp:coreProperties>
</file>