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24226"/>
  <mc:AlternateContent xmlns:mc="http://schemas.openxmlformats.org/markup-compatibility/2006">
    <mc:Choice Requires="x15">
      <x15ac:absPath xmlns:x15ac="http://schemas.microsoft.com/office/spreadsheetml/2010/11/ac" url="/Users/ravi/Library/CloudStorage/OneDrive-Personal/Work Files/Company Research/Rational Reflections Write-Ups/CarMax/"/>
    </mc:Choice>
  </mc:AlternateContent>
  <xr:revisionPtr revIDLastSave="0" documentId="13_ncr:1_{199D67C2-30C5-D742-9258-CB25B07CFC98}" xr6:coauthVersionLast="47" xr6:coauthVersionMax="47" xr10:uidLastSave="{00000000-0000-0000-0000-000000000000}"/>
  <bookViews>
    <workbookView xWindow="0" yWindow="500" windowWidth="28800" windowHeight="16260" tabRatio="783" xr2:uid="{00000000-000D-0000-FFFF-FFFF00000000}"/>
  </bookViews>
  <sheets>
    <sheet name="TERMS OF USE" sheetId="20" r:id="rId1"/>
    <sheet name="Balance Sheet" sheetId="1" r:id="rId2"/>
    <sheet name="Operating Summary &amp; Stats" sheetId="9" r:id="rId3"/>
    <sheet name="Quarterly Data" sheetId="19" r:id="rId4"/>
    <sheet name="Cash Flow Analysis" sheetId="10" r:id="rId5"/>
    <sheet name="CAF Income Analysis" sheetId="1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2" i="1" l="1"/>
  <c r="B31" i="19"/>
  <c r="B52" i="19"/>
  <c r="B51" i="19"/>
  <c r="B40" i="19"/>
  <c r="B14" i="19"/>
  <c r="B9" i="19"/>
  <c r="C85" i="10"/>
  <c r="C89" i="10" s="1"/>
  <c r="D85" i="10"/>
  <c r="E85" i="10"/>
  <c r="F85" i="10"/>
  <c r="G85" i="10"/>
  <c r="H85" i="10"/>
  <c r="I85" i="10"/>
  <c r="J85" i="10"/>
  <c r="K85" i="10"/>
  <c r="K89" i="10" s="1"/>
  <c r="L85" i="10"/>
  <c r="C86" i="10"/>
  <c r="D86" i="10"/>
  <c r="E86" i="10"/>
  <c r="F86" i="10"/>
  <c r="G86" i="10"/>
  <c r="G89" i="10" s="1"/>
  <c r="H86" i="10"/>
  <c r="I86" i="10"/>
  <c r="J86" i="10"/>
  <c r="K86" i="10"/>
  <c r="L86" i="10"/>
  <c r="C87" i="10"/>
  <c r="D87" i="10"/>
  <c r="E87" i="10"/>
  <c r="F87" i="10"/>
  <c r="G87" i="10"/>
  <c r="H87" i="10"/>
  <c r="I87" i="10"/>
  <c r="J87" i="10"/>
  <c r="K87" i="10"/>
  <c r="L87" i="10"/>
  <c r="C88" i="10"/>
  <c r="D88" i="10"/>
  <c r="E88" i="10"/>
  <c r="F88" i="10"/>
  <c r="G88" i="10"/>
  <c r="H88" i="10"/>
  <c r="I88" i="10"/>
  <c r="J88" i="10"/>
  <c r="K88" i="10"/>
  <c r="L88" i="10"/>
  <c r="B88" i="10"/>
  <c r="B87" i="10"/>
  <c r="B86" i="10"/>
  <c r="B85" i="10"/>
  <c r="C80" i="10"/>
  <c r="D80" i="10"/>
  <c r="D83" i="10" s="1"/>
  <c r="E80" i="10"/>
  <c r="F80" i="10"/>
  <c r="G80" i="10"/>
  <c r="H80" i="10"/>
  <c r="I80" i="10"/>
  <c r="J80" i="10"/>
  <c r="K80" i="10"/>
  <c r="L80" i="10"/>
  <c r="L83" i="10" s="1"/>
  <c r="C81" i="10"/>
  <c r="D81" i="10"/>
  <c r="E81" i="10"/>
  <c r="F81" i="10"/>
  <c r="G81" i="10"/>
  <c r="H81" i="10"/>
  <c r="H83" i="10" s="1"/>
  <c r="I81" i="10"/>
  <c r="J81" i="10"/>
  <c r="K81" i="10"/>
  <c r="L81" i="10"/>
  <c r="C82" i="10"/>
  <c r="D82" i="10"/>
  <c r="E82" i="10"/>
  <c r="F82" i="10"/>
  <c r="G82" i="10"/>
  <c r="H82" i="10"/>
  <c r="I82" i="10"/>
  <c r="J82" i="10"/>
  <c r="K82" i="10"/>
  <c r="L82" i="10"/>
  <c r="B82" i="10"/>
  <c r="B81" i="10"/>
  <c r="B80" i="10"/>
  <c r="C77" i="10"/>
  <c r="D77" i="10"/>
  <c r="E77" i="10"/>
  <c r="F77" i="10"/>
  <c r="G77" i="10"/>
  <c r="H77" i="10"/>
  <c r="I77" i="10"/>
  <c r="J77" i="10"/>
  <c r="K77" i="10"/>
  <c r="L77" i="10"/>
  <c r="B77" i="10"/>
  <c r="B57" i="10"/>
  <c r="C75" i="1"/>
  <c r="D75" i="1"/>
  <c r="E75" i="1"/>
  <c r="F75" i="1"/>
  <c r="G75" i="1"/>
  <c r="H75" i="1"/>
  <c r="I75" i="1"/>
  <c r="J75" i="1"/>
  <c r="K75" i="1"/>
  <c r="L75" i="1"/>
  <c r="C76" i="1"/>
  <c r="D76" i="1"/>
  <c r="E76" i="1"/>
  <c r="F76" i="1"/>
  <c r="G76" i="1"/>
  <c r="H76" i="1"/>
  <c r="I76" i="1"/>
  <c r="J76" i="1"/>
  <c r="K76" i="1"/>
  <c r="L76" i="1"/>
  <c r="C77" i="1"/>
  <c r="D77" i="1"/>
  <c r="E77" i="1"/>
  <c r="F77" i="1"/>
  <c r="G77" i="1"/>
  <c r="H77" i="1"/>
  <c r="I77" i="1"/>
  <c r="J77" i="1"/>
  <c r="K77" i="1"/>
  <c r="L77" i="1"/>
  <c r="B77" i="1"/>
  <c r="B76" i="1"/>
  <c r="B75" i="1"/>
  <c r="I72" i="1"/>
  <c r="C69" i="1"/>
  <c r="D69" i="1"/>
  <c r="E69" i="1"/>
  <c r="F69" i="1"/>
  <c r="G69" i="1"/>
  <c r="H69" i="1"/>
  <c r="I69" i="1"/>
  <c r="J69" i="1"/>
  <c r="K69" i="1"/>
  <c r="L69" i="1"/>
  <c r="C70" i="1"/>
  <c r="D70" i="1"/>
  <c r="E70" i="1"/>
  <c r="F70" i="1"/>
  <c r="G70" i="1"/>
  <c r="H70" i="1"/>
  <c r="I70" i="1"/>
  <c r="J70" i="1"/>
  <c r="K70" i="1"/>
  <c r="L70" i="1"/>
  <c r="C71" i="1"/>
  <c r="D71" i="1"/>
  <c r="E71" i="1"/>
  <c r="F71" i="1"/>
  <c r="G71" i="1"/>
  <c r="H71" i="1"/>
  <c r="I71" i="1"/>
  <c r="J71" i="1"/>
  <c r="K71" i="1"/>
  <c r="L71" i="1"/>
  <c r="B67" i="1"/>
  <c r="B71" i="1"/>
  <c r="B70" i="1"/>
  <c r="B69" i="1"/>
  <c r="C64" i="1"/>
  <c r="D64" i="1"/>
  <c r="E64" i="1"/>
  <c r="F64" i="1"/>
  <c r="G64" i="1"/>
  <c r="H64" i="1"/>
  <c r="I64" i="1"/>
  <c r="J64" i="1"/>
  <c r="K64" i="1"/>
  <c r="L64" i="1"/>
  <c r="C65" i="1"/>
  <c r="D65" i="1"/>
  <c r="E65" i="1"/>
  <c r="F65" i="1"/>
  <c r="G65" i="1"/>
  <c r="H65" i="1"/>
  <c r="I65" i="1"/>
  <c r="J65" i="1"/>
  <c r="K65" i="1"/>
  <c r="L65" i="1"/>
  <c r="C66" i="1"/>
  <c r="D66" i="1"/>
  <c r="E66" i="1"/>
  <c r="F66" i="1"/>
  <c r="G66" i="1"/>
  <c r="H66" i="1"/>
  <c r="I66" i="1"/>
  <c r="J66" i="1"/>
  <c r="K66" i="1"/>
  <c r="L66" i="1"/>
  <c r="C67" i="1"/>
  <c r="D67" i="1"/>
  <c r="E67" i="1"/>
  <c r="F67" i="1"/>
  <c r="G67" i="1"/>
  <c r="H67" i="1"/>
  <c r="I67" i="1"/>
  <c r="J67" i="1"/>
  <c r="K67" i="1"/>
  <c r="L67" i="1"/>
  <c r="I68" i="1"/>
  <c r="B66" i="1"/>
  <c r="B65" i="1"/>
  <c r="B68" i="1" s="1"/>
  <c r="B72" i="1" s="1"/>
  <c r="B64" i="1"/>
  <c r="E83" i="10" l="1"/>
  <c r="L89" i="10"/>
  <c r="D89" i="10"/>
  <c r="K83" i="10"/>
  <c r="C83" i="10"/>
  <c r="J89" i="10"/>
  <c r="F83" i="10"/>
  <c r="J83" i="10"/>
  <c r="E89" i="10"/>
  <c r="I89" i="10"/>
  <c r="G83" i="10"/>
  <c r="I83" i="10"/>
  <c r="F89" i="10"/>
  <c r="H89" i="10"/>
  <c r="B89" i="10"/>
  <c r="B83" i="10"/>
  <c r="B15" i="19"/>
  <c r="B28" i="19"/>
  <c r="B21" i="19"/>
  <c r="B33" i="19"/>
  <c r="J68" i="1"/>
  <c r="J72" i="1" s="1"/>
  <c r="F68" i="1"/>
  <c r="F72" i="1" s="1"/>
  <c r="H68" i="1"/>
  <c r="H72" i="1" s="1"/>
  <c r="K68" i="1"/>
  <c r="K72" i="1" s="1"/>
  <c r="C68" i="1"/>
  <c r="C72" i="1" s="1"/>
  <c r="E68" i="1"/>
  <c r="E72" i="1" s="1"/>
  <c r="G68" i="1"/>
  <c r="G72" i="1" s="1"/>
  <c r="L68" i="1"/>
  <c r="L72" i="1" s="1"/>
  <c r="D68" i="1"/>
  <c r="D72" i="1" s="1"/>
  <c r="B23" i="19" l="1"/>
  <c r="B59" i="9"/>
  <c r="B57" i="9"/>
  <c r="C52" i="19"/>
  <c r="C51" i="19"/>
  <c r="K52" i="19"/>
  <c r="K51" i="19"/>
  <c r="D52" i="19"/>
  <c r="E52" i="19"/>
  <c r="F52" i="19"/>
  <c r="G52" i="19"/>
  <c r="H52" i="19"/>
  <c r="I52" i="19"/>
  <c r="J52" i="19"/>
  <c r="L52" i="19"/>
  <c r="M52" i="19"/>
  <c r="N52" i="19"/>
  <c r="O52" i="19"/>
  <c r="D51" i="19"/>
  <c r="E51" i="19"/>
  <c r="F51" i="19"/>
  <c r="G51" i="19"/>
  <c r="H51" i="19"/>
  <c r="I51" i="19"/>
  <c r="J51" i="19"/>
  <c r="L51" i="19"/>
  <c r="M51" i="19"/>
  <c r="N51" i="19"/>
  <c r="O51" i="19"/>
  <c r="O40" i="19"/>
  <c r="N40" i="19"/>
  <c r="M40" i="19"/>
  <c r="L40" i="19"/>
  <c r="K40" i="19"/>
  <c r="J40" i="19"/>
  <c r="I40" i="19"/>
  <c r="H40" i="19"/>
  <c r="G40" i="19"/>
  <c r="F40" i="19"/>
  <c r="E40" i="19"/>
  <c r="D40" i="19"/>
  <c r="C40" i="19"/>
  <c r="O14" i="19"/>
  <c r="N14" i="19"/>
  <c r="M14" i="19"/>
  <c r="L14" i="19"/>
  <c r="K14" i="19"/>
  <c r="J14" i="19"/>
  <c r="I14" i="19"/>
  <c r="H14" i="19"/>
  <c r="G14" i="19"/>
  <c r="F14" i="19"/>
  <c r="E14" i="19"/>
  <c r="D14" i="19"/>
  <c r="C14" i="19"/>
  <c r="O9" i="19"/>
  <c r="O33" i="19" s="1"/>
  <c r="N9" i="19"/>
  <c r="N33" i="19" s="1"/>
  <c r="M9" i="19"/>
  <c r="M33" i="19" s="1"/>
  <c r="L9" i="19"/>
  <c r="L33" i="19" s="1"/>
  <c r="K9" i="19"/>
  <c r="K33" i="19" s="1"/>
  <c r="J9" i="19"/>
  <c r="J33" i="19" s="1"/>
  <c r="I9" i="19"/>
  <c r="I33" i="19" s="1"/>
  <c r="H9" i="19"/>
  <c r="H33" i="19" s="1"/>
  <c r="G9" i="19"/>
  <c r="G33" i="19" s="1"/>
  <c r="F9" i="19"/>
  <c r="F33" i="19" s="1"/>
  <c r="E9" i="19"/>
  <c r="E33" i="19" s="1"/>
  <c r="D9" i="19"/>
  <c r="D33" i="19" s="1"/>
  <c r="C9" i="19"/>
  <c r="C33" i="19" s="1"/>
  <c r="C55" i="1"/>
  <c r="D55" i="1"/>
  <c r="E55" i="1"/>
  <c r="E59" i="1" s="1"/>
  <c r="F55" i="1"/>
  <c r="G55" i="1"/>
  <c r="H55" i="1"/>
  <c r="I55" i="1"/>
  <c r="J55" i="1"/>
  <c r="K55" i="1"/>
  <c r="L55" i="1"/>
  <c r="M55" i="1"/>
  <c r="N55" i="1"/>
  <c r="B55" i="1"/>
  <c r="C54" i="1"/>
  <c r="D54" i="1"/>
  <c r="E54" i="1"/>
  <c r="F54" i="1"/>
  <c r="G54" i="1"/>
  <c r="H54" i="1"/>
  <c r="I54" i="1"/>
  <c r="J54" i="1"/>
  <c r="K54" i="1"/>
  <c r="L54" i="1"/>
  <c r="M54" i="1"/>
  <c r="N54" i="1"/>
  <c r="C57" i="1"/>
  <c r="C59" i="1" s="1"/>
  <c r="D57" i="1"/>
  <c r="E57" i="1"/>
  <c r="F57" i="1"/>
  <c r="G57" i="1"/>
  <c r="H57" i="1"/>
  <c r="I57" i="1"/>
  <c r="J57" i="1"/>
  <c r="K57" i="1"/>
  <c r="K59" i="1" s="1"/>
  <c r="L57" i="1"/>
  <c r="M57" i="1"/>
  <c r="N57" i="1"/>
  <c r="C58" i="1"/>
  <c r="D58" i="1"/>
  <c r="E58" i="1"/>
  <c r="F58" i="1"/>
  <c r="G58" i="1"/>
  <c r="H58" i="1"/>
  <c r="I58" i="1"/>
  <c r="J58" i="1"/>
  <c r="K58" i="1"/>
  <c r="L58" i="1"/>
  <c r="M58" i="1"/>
  <c r="N58" i="1"/>
  <c r="H59" i="1"/>
  <c r="B58" i="1"/>
  <c r="B57" i="1"/>
  <c r="B54" i="1"/>
  <c r="B29" i="19" l="1"/>
  <c r="B26" i="19"/>
  <c r="L59" i="1"/>
  <c r="D59" i="1"/>
  <c r="F59" i="1"/>
  <c r="J59" i="1"/>
  <c r="M59" i="1"/>
  <c r="N59" i="1"/>
  <c r="B59" i="1"/>
  <c r="N15" i="19"/>
  <c r="N28" i="19" s="1"/>
  <c r="D15" i="19"/>
  <c r="D28" i="19" s="1"/>
  <c r="G15" i="19"/>
  <c r="E15" i="19"/>
  <c r="E28" i="19" s="1"/>
  <c r="H15" i="19"/>
  <c r="H28" i="19" s="1"/>
  <c r="F15" i="19"/>
  <c r="F28" i="19" s="1"/>
  <c r="I15" i="19"/>
  <c r="O15" i="19"/>
  <c r="O28" i="19" s="1"/>
  <c r="J15" i="19"/>
  <c r="J28" i="19" s="1"/>
  <c r="C15" i="19"/>
  <c r="C28" i="19" s="1"/>
  <c r="K15" i="19"/>
  <c r="K28" i="19" s="1"/>
  <c r="L15" i="19"/>
  <c r="L28" i="19" s="1"/>
  <c r="M15" i="19"/>
  <c r="M28" i="19" s="1"/>
  <c r="I59" i="1"/>
  <c r="G59" i="1"/>
  <c r="C24" i="18"/>
  <c r="B24" i="18"/>
  <c r="C23" i="18"/>
  <c r="B23" i="18"/>
  <c r="D8" i="18"/>
  <c r="D10" i="18" s="1"/>
  <c r="D13" i="18" s="1"/>
  <c r="D23" i="18" s="1"/>
  <c r="E8" i="18"/>
  <c r="E10" i="18" s="1"/>
  <c r="E13" i="18" s="1"/>
  <c r="E23" i="18" s="1"/>
  <c r="F8" i="18"/>
  <c r="F10" i="18" s="1"/>
  <c r="F13" i="18" s="1"/>
  <c r="F23" i="18" s="1"/>
  <c r="G8" i="18"/>
  <c r="G10" i="18" s="1"/>
  <c r="G13" i="18" s="1"/>
  <c r="G23" i="18" s="1"/>
  <c r="H8" i="18"/>
  <c r="H10" i="18" s="1"/>
  <c r="H13" i="18" s="1"/>
  <c r="H23" i="18" s="1"/>
  <c r="I8" i="18"/>
  <c r="I10" i="18" s="1"/>
  <c r="I13" i="18" s="1"/>
  <c r="I23" i="18" s="1"/>
  <c r="D24" i="18"/>
  <c r="E24" i="18"/>
  <c r="F24" i="18"/>
  <c r="G24" i="18"/>
  <c r="H24" i="18"/>
  <c r="I24" i="18"/>
  <c r="O26" i="18"/>
  <c r="N26" i="18"/>
  <c r="O24" i="18"/>
  <c r="N24" i="18"/>
  <c r="M24" i="18"/>
  <c r="L24" i="18"/>
  <c r="K24" i="18"/>
  <c r="J24" i="18"/>
  <c r="M10" i="18"/>
  <c r="M13" i="18" s="1"/>
  <c r="M23" i="18" s="1"/>
  <c r="L10" i="18"/>
  <c r="L13" i="18" s="1"/>
  <c r="L23" i="18" s="1"/>
  <c r="K10" i="18"/>
  <c r="K13" i="18" s="1"/>
  <c r="K23" i="18" s="1"/>
  <c r="J10" i="18"/>
  <c r="J13" i="18" s="1"/>
  <c r="J23" i="18" s="1"/>
  <c r="O8" i="18"/>
  <c r="O10" i="18" s="1"/>
  <c r="O13" i="18" s="1"/>
  <c r="O23" i="18" s="1"/>
  <c r="N8" i="18"/>
  <c r="N10" i="18" s="1"/>
  <c r="N13" i="18" s="1"/>
  <c r="N23" i="18" s="1"/>
  <c r="M8" i="18"/>
  <c r="L8" i="18"/>
  <c r="K8" i="18"/>
  <c r="J8" i="18"/>
  <c r="C8" i="18"/>
  <c r="C10" i="18" s="1"/>
  <c r="C13" i="18" s="1"/>
  <c r="B8" i="18"/>
  <c r="B10" i="18" s="1"/>
  <c r="B13" i="18" s="1"/>
  <c r="C70" i="10"/>
  <c r="D70" i="10"/>
  <c r="E70" i="10"/>
  <c r="F70" i="10"/>
  <c r="G70" i="10"/>
  <c r="H70" i="10"/>
  <c r="I70" i="10"/>
  <c r="J70" i="10"/>
  <c r="K70" i="10"/>
  <c r="L70" i="10"/>
  <c r="M70" i="10"/>
  <c r="C71" i="10"/>
  <c r="D71" i="10"/>
  <c r="E71" i="10"/>
  <c r="F71" i="10"/>
  <c r="G71" i="10"/>
  <c r="H71" i="10"/>
  <c r="I71" i="10"/>
  <c r="J71" i="10"/>
  <c r="K71" i="10"/>
  <c r="L71" i="10"/>
  <c r="M71" i="10"/>
  <c r="B71" i="10"/>
  <c r="B70" i="10"/>
  <c r="N6" i="10"/>
  <c r="C64" i="10"/>
  <c r="C67" i="10" s="1"/>
  <c r="D64" i="10"/>
  <c r="E64" i="10"/>
  <c r="F64" i="10"/>
  <c r="G64" i="10"/>
  <c r="H64" i="10"/>
  <c r="I64" i="10"/>
  <c r="J64" i="10"/>
  <c r="K64" i="10"/>
  <c r="L64" i="10"/>
  <c r="M64" i="10"/>
  <c r="C65" i="10"/>
  <c r="D65" i="10"/>
  <c r="E65" i="10"/>
  <c r="F65" i="10"/>
  <c r="G65" i="10"/>
  <c r="H65" i="10"/>
  <c r="H67" i="10" s="1"/>
  <c r="I65" i="10"/>
  <c r="J65" i="10"/>
  <c r="K65" i="10"/>
  <c r="L65" i="10"/>
  <c r="M65" i="10"/>
  <c r="C66" i="10"/>
  <c r="D66" i="10"/>
  <c r="E66" i="10"/>
  <c r="F66" i="10"/>
  <c r="G66" i="10"/>
  <c r="H66" i="10"/>
  <c r="I66" i="10"/>
  <c r="J66" i="10"/>
  <c r="K66" i="10"/>
  <c r="L66" i="10"/>
  <c r="M66" i="10"/>
  <c r="B66" i="10"/>
  <c r="B65" i="10"/>
  <c r="B64" i="10"/>
  <c r="N30" i="10"/>
  <c r="G57" i="10"/>
  <c r="N32" i="10"/>
  <c r="N31" i="10"/>
  <c r="C37" i="10"/>
  <c r="D37" i="10"/>
  <c r="E37" i="10"/>
  <c r="F37" i="10"/>
  <c r="G37" i="10"/>
  <c r="H37" i="10"/>
  <c r="C49" i="10"/>
  <c r="D49" i="10"/>
  <c r="E49" i="10"/>
  <c r="F49" i="10"/>
  <c r="G49" i="10"/>
  <c r="H49" i="10"/>
  <c r="C57" i="10"/>
  <c r="D57" i="10"/>
  <c r="E57" i="10"/>
  <c r="F57" i="10"/>
  <c r="H57" i="10"/>
  <c r="C23" i="10"/>
  <c r="D23" i="10"/>
  <c r="E23" i="10"/>
  <c r="F23" i="10"/>
  <c r="G23" i="10"/>
  <c r="H23" i="10"/>
  <c r="L58" i="9"/>
  <c r="M58" i="9"/>
  <c r="N58" i="9"/>
  <c r="O58" i="9"/>
  <c r="P58" i="9"/>
  <c r="Q58" i="9"/>
  <c r="R58" i="9"/>
  <c r="S58" i="9"/>
  <c r="K58" i="9"/>
  <c r="C57" i="9"/>
  <c r="D57" i="9"/>
  <c r="E57" i="9"/>
  <c r="F57" i="9"/>
  <c r="G57" i="9"/>
  <c r="H57" i="9"/>
  <c r="I57" i="9"/>
  <c r="J57" i="9"/>
  <c r="K57" i="9"/>
  <c r="L57" i="9"/>
  <c r="M57" i="9"/>
  <c r="N57" i="9"/>
  <c r="O57" i="9"/>
  <c r="P57" i="9"/>
  <c r="Q57" i="9"/>
  <c r="R57" i="9"/>
  <c r="S57" i="9"/>
  <c r="C59" i="9"/>
  <c r="D59" i="9"/>
  <c r="E59" i="9"/>
  <c r="F59" i="9"/>
  <c r="G59" i="9"/>
  <c r="H59" i="9"/>
  <c r="I59" i="9"/>
  <c r="J59" i="9"/>
  <c r="K59" i="9"/>
  <c r="L59" i="9"/>
  <c r="M59" i="9"/>
  <c r="N59" i="9"/>
  <c r="O59" i="9"/>
  <c r="P59" i="9"/>
  <c r="Q59" i="9"/>
  <c r="R59" i="9"/>
  <c r="S59" i="9"/>
  <c r="D44" i="9"/>
  <c r="E44" i="9"/>
  <c r="F44" i="9"/>
  <c r="G44" i="9"/>
  <c r="H44" i="9"/>
  <c r="I44" i="9"/>
  <c r="C15" i="9"/>
  <c r="D15" i="9"/>
  <c r="E15" i="9"/>
  <c r="F15" i="9"/>
  <c r="G15" i="9"/>
  <c r="H15" i="9"/>
  <c r="I15" i="9"/>
  <c r="J15" i="9"/>
  <c r="K15" i="9"/>
  <c r="L15" i="9"/>
  <c r="M15" i="9"/>
  <c r="N15" i="9"/>
  <c r="O15" i="9"/>
  <c r="P15" i="9"/>
  <c r="Q15" i="9"/>
  <c r="R15" i="9"/>
  <c r="S15" i="9"/>
  <c r="T15" i="9"/>
  <c r="B15" i="9"/>
  <c r="D10" i="9"/>
  <c r="D34" i="9" s="1"/>
  <c r="E10" i="9"/>
  <c r="E34" i="9" s="1"/>
  <c r="F10" i="9"/>
  <c r="G10" i="9"/>
  <c r="G34" i="9" s="1"/>
  <c r="H10" i="9"/>
  <c r="H34" i="9" s="1"/>
  <c r="I10" i="9"/>
  <c r="I34" i="9" s="1"/>
  <c r="B14" i="1"/>
  <c r="B21" i="1" s="1"/>
  <c r="C14" i="1"/>
  <c r="C21" i="1" s="1"/>
  <c r="D14" i="1"/>
  <c r="D21" i="1" s="1"/>
  <c r="E14" i="1"/>
  <c r="E21" i="1" s="1"/>
  <c r="F14" i="1"/>
  <c r="F21" i="1" s="1"/>
  <c r="G14" i="1"/>
  <c r="G21" i="1" s="1"/>
  <c r="H14" i="1"/>
  <c r="H21" i="1" s="1"/>
  <c r="B33" i="1"/>
  <c r="C33" i="1"/>
  <c r="D33" i="1"/>
  <c r="E33" i="1"/>
  <c r="F33" i="1"/>
  <c r="G33" i="1"/>
  <c r="H33" i="1"/>
  <c r="B45" i="1"/>
  <c r="C45" i="1"/>
  <c r="D45" i="1"/>
  <c r="E45" i="1"/>
  <c r="F45" i="1"/>
  <c r="G45" i="1"/>
  <c r="H45" i="1"/>
  <c r="B50" i="1"/>
  <c r="B84" i="1" s="1"/>
  <c r="C50" i="1"/>
  <c r="C84" i="1" s="1"/>
  <c r="D50" i="1"/>
  <c r="D84" i="1" s="1"/>
  <c r="E50" i="1"/>
  <c r="E84" i="1" s="1"/>
  <c r="F50" i="1"/>
  <c r="F84" i="1" s="1"/>
  <c r="G50" i="1"/>
  <c r="G84" i="1" s="1"/>
  <c r="H50" i="1"/>
  <c r="H84" i="1" s="1"/>
  <c r="N40" i="10"/>
  <c r="N41" i="10"/>
  <c r="N42" i="10"/>
  <c r="N43" i="10"/>
  <c r="N44" i="10"/>
  <c r="N45" i="10"/>
  <c r="N46" i="10"/>
  <c r="N47" i="10"/>
  <c r="N48" i="10"/>
  <c r="N39" i="10"/>
  <c r="N26" i="10"/>
  <c r="N27" i="10"/>
  <c r="N28" i="10"/>
  <c r="N29" i="10"/>
  <c r="N34" i="10"/>
  <c r="N35" i="10"/>
  <c r="N36" i="10"/>
  <c r="N25" i="10"/>
  <c r="N9" i="10"/>
  <c r="N10" i="10"/>
  <c r="N11" i="10"/>
  <c r="N12" i="10"/>
  <c r="N14" i="10"/>
  <c r="N15" i="10"/>
  <c r="N16" i="10"/>
  <c r="N17" i="10"/>
  <c r="N18" i="10"/>
  <c r="N19" i="10"/>
  <c r="N20" i="10"/>
  <c r="N21" i="10"/>
  <c r="N22" i="10"/>
  <c r="N8" i="10"/>
  <c r="I57" i="10"/>
  <c r="J57" i="10"/>
  <c r="K57" i="10"/>
  <c r="L57" i="10"/>
  <c r="M57" i="10"/>
  <c r="M13" i="10"/>
  <c r="L13" i="10"/>
  <c r="G67" i="10" l="1"/>
  <c r="I67" i="10"/>
  <c r="L67" i="10"/>
  <c r="N13" i="10"/>
  <c r="B67" i="10"/>
  <c r="C56" i="10"/>
  <c r="C58" i="10" s="1"/>
  <c r="C60" i="10" s="1"/>
  <c r="C61" i="10" s="1"/>
  <c r="C76" i="10"/>
  <c r="C78" i="10" s="1"/>
  <c r="D67" i="10"/>
  <c r="K67" i="10"/>
  <c r="H56" i="10"/>
  <c r="H76" i="10"/>
  <c r="H78" i="10" s="1"/>
  <c r="G56" i="10"/>
  <c r="G58" i="10" s="1"/>
  <c r="G60" i="10" s="1"/>
  <c r="G61" i="10" s="1"/>
  <c r="G76" i="10"/>
  <c r="G78" i="10" s="1"/>
  <c r="F56" i="10"/>
  <c r="F76" i="10"/>
  <c r="F78" i="10" s="1"/>
  <c r="J67" i="10"/>
  <c r="E56" i="10"/>
  <c r="E58" i="10" s="1"/>
  <c r="E60" i="10" s="1"/>
  <c r="E61" i="10" s="1"/>
  <c r="E76" i="10"/>
  <c r="E78" i="10" s="1"/>
  <c r="F67" i="10"/>
  <c r="D56" i="10"/>
  <c r="D58" i="10" s="1"/>
  <c r="D60" i="10" s="1"/>
  <c r="D61" i="10" s="1"/>
  <c r="D76" i="10"/>
  <c r="D78" i="10" s="1"/>
  <c r="M67" i="10"/>
  <c r="E67" i="10"/>
  <c r="B39" i="1"/>
  <c r="B46" i="1" s="1"/>
  <c r="B47" i="1" s="1"/>
  <c r="B74" i="1"/>
  <c r="B78" i="1" s="1"/>
  <c r="H39" i="1"/>
  <c r="H46" i="1" s="1"/>
  <c r="H47" i="1" s="1"/>
  <c r="H74" i="1"/>
  <c r="H78" i="1" s="1"/>
  <c r="H80" i="1" s="1"/>
  <c r="C49" i="1"/>
  <c r="C79" i="1"/>
  <c r="C83" i="1" s="1"/>
  <c r="B49" i="1"/>
  <c r="B79" i="1"/>
  <c r="B83" i="1" s="1"/>
  <c r="H49" i="1"/>
  <c r="H79" i="1"/>
  <c r="H83" i="1" s="1"/>
  <c r="G39" i="1"/>
  <c r="G74" i="1"/>
  <c r="G78" i="1" s="1"/>
  <c r="D49" i="1"/>
  <c r="D79" i="1"/>
  <c r="D83" i="1" s="1"/>
  <c r="G49" i="1"/>
  <c r="G79" i="1"/>
  <c r="G83" i="1" s="1"/>
  <c r="F39" i="1"/>
  <c r="F74" i="1"/>
  <c r="F78" i="1" s="1"/>
  <c r="F49" i="1"/>
  <c r="F79" i="1"/>
  <c r="F83" i="1" s="1"/>
  <c r="E39" i="1"/>
  <c r="E46" i="1" s="1"/>
  <c r="E47" i="1" s="1"/>
  <c r="E74" i="1"/>
  <c r="E78" i="1" s="1"/>
  <c r="E80" i="1" s="1"/>
  <c r="C39" i="1"/>
  <c r="C74" i="1"/>
  <c r="C78" i="1" s="1"/>
  <c r="C80" i="1" s="1"/>
  <c r="E49" i="1"/>
  <c r="E79" i="1"/>
  <c r="E83" i="1" s="1"/>
  <c r="D39" i="1"/>
  <c r="D74" i="1"/>
  <c r="D78" i="1" s="1"/>
  <c r="F16" i="9"/>
  <c r="I21" i="19"/>
  <c r="I31" i="19" s="1"/>
  <c r="I28" i="19"/>
  <c r="G21" i="19"/>
  <c r="G31" i="19" s="1"/>
  <c r="G28" i="19"/>
  <c r="N21" i="19"/>
  <c r="N31" i="19" s="1"/>
  <c r="D21" i="19"/>
  <c r="F21" i="19"/>
  <c r="F31" i="19" s="1"/>
  <c r="H21" i="19"/>
  <c r="H31" i="19" s="1"/>
  <c r="O21" i="19"/>
  <c r="O31" i="19" s="1"/>
  <c r="E21" i="19"/>
  <c r="E31" i="19" s="1"/>
  <c r="M21" i="19"/>
  <c r="M31" i="19" s="1"/>
  <c r="C21" i="19"/>
  <c r="C31" i="19" s="1"/>
  <c r="J21" i="19"/>
  <c r="J31" i="19" s="1"/>
  <c r="L21" i="19"/>
  <c r="L31" i="19" s="1"/>
  <c r="K21" i="19"/>
  <c r="K31" i="19" s="1"/>
  <c r="H58" i="10"/>
  <c r="H60" i="10" s="1"/>
  <c r="H61" i="10" s="1"/>
  <c r="D50" i="10"/>
  <c r="D52" i="10" s="1"/>
  <c r="F58" i="10"/>
  <c r="F60" i="10" s="1"/>
  <c r="F61" i="10" s="1"/>
  <c r="C50" i="10"/>
  <c r="C52" i="10" s="1"/>
  <c r="F50" i="10"/>
  <c r="F52" i="10" s="1"/>
  <c r="E50" i="10"/>
  <c r="E52" i="10" s="1"/>
  <c r="G50" i="10"/>
  <c r="G52" i="10" s="1"/>
  <c r="H50" i="10"/>
  <c r="H52" i="10" s="1"/>
  <c r="N57" i="10"/>
  <c r="N49" i="10"/>
  <c r="N37" i="10"/>
  <c r="F34" i="9"/>
  <c r="I16" i="9"/>
  <c r="I29" i="9" s="1"/>
  <c r="H16" i="9"/>
  <c r="E16" i="9"/>
  <c r="E22" i="9" s="1"/>
  <c r="D16" i="9"/>
  <c r="D29" i="9" s="1"/>
  <c r="G16" i="9"/>
  <c r="G22" i="9" s="1"/>
  <c r="F22" i="9"/>
  <c r="F24" i="9" s="1"/>
  <c r="F30" i="9" s="1"/>
  <c r="F29" i="9"/>
  <c r="E36" i="9"/>
  <c r="D36" i="9"/>
  <c r="H36" i="9"/>
  <c r="F36" i="9"/>
  <c r="G36" i="9"/>
  <c r="F46" i="1"/>
  <c r="F47" i="1" s="1"/>
  <c r="G46" i="1"/>
  <c r="G47" i="1" s="1"/>
  <c r="D46" i="1"/>
  <c r="D47" i="1" s="1"/>
  <c r="C46" i="1"/>
  <c r="C47" i="1" s="1"/>
  <c r="N23" i="10"/>
  <c r="I49" i="10"/>
  <c r="J49" i="10"/>
  <c r="K49" i="10"/>
  <c r="L49" i="10"/>
  <c r="M49" i="10"/>
  <c r="B49" i="10"/>
  <c r="I37" i="10"/>
  <c r="J37" i="10"/>
  <c r="K37" i="10"/>
  <c r="L37" i="10"/>
  <c r="M37" i="10"/>
  <c r="B37" i="10"/>
  <c r="I23" i="10"/>
  <c r="I76" i="10" s="1"/>
  <c r="I78" i="10" s="1"/>
  <c r="J23" i="10"/>
  <c r="J76" i="10" s="1"/>
  <c r="J78" i="10" s="1"/>
  <c r="K23" i="10"/>
  <c r="L23" i="10"/>
  <c r="M23" i="10"/>
  <c r="M56" i="10" s="1"/>
  <c r="M58" i="10" s="1"/>
  <c r="M60" i="10" s="1"/>
  <c r="M61" i="10" s="1"/>
  <c r="B23" i="10"/>
  <c r="C44" i="9"/>
  <c r="J44" i="9"/>
  <c r="K44" i="9"/>
  <c r="L44" i="9"/>
  <c r="M44" i="9"/>
  <c r="N44" i="9"/>
  <c r="O44" i="9"/>
  <c r="P44" i="9"/>
  <c r="Q44" i="9"/>
  <c r="R44" i="9"/>
  <c r="S44" i="9"/>
  <c r="T44" i="9"/>
  <c r="B44" i="9"/>
  <c r="T20" i="9"/>
  <c r="S20" i="9"/>
  <c r="R20" i="9"/>
  <c r="Q20" i="9"/>
  <c r="C10" i="9"/>
  <c r="C34" i="9" s="1"/>
  <c r="J10" i="9"/>
  <c r="J34" i="9" s="1"/>
  <c r="K10" i="9"/>
  <c r="K34" i="9" s="1"/>
  <c r="L10" i="9"/>
  <c r="L34" i="9" s="1"/>
  <c r="M10" i="9"/>
  <c r="M34" i="9" s="1"/>
  <c r="N10" i="9"/>
  <c r="N34" i="9" s="1"/>
  <c r="O10" i="9"/>
  <c r="O34" i="9" s="1"/>
  <c r="P10" i="9"/>
  <c r="P34" i="9" s="1"/>
  <c r="Q10" i="9"/>
  <c r="R10" i="9"/>
  <c r="S10" i="9"/>
  <c r="T10" i="9"/>
  <c r="B10" i="9"/>
  <c r="B34" i="9" s="1"/>
  <c r="R50" i="1"/>
  <c r="S14" i="1"/>
  <c r="S21" i="1" s="1"/>
  <c r="S33" i="1"/>
  <c r="S39" i="1" s="1"/>
  <c r="S45" i="1"/>
  <c r="I50" i="1"/>
  <c r="I84" i="1" s="1"/>
  <c r="J50" i="1"/>
  <c r="J84" i="1" s="1"/>
  <c r="K50" i="1"/>
  <c r="K84" i="1" s="1"/>
  <c r="L50" i="1"/>
  <c r="L84" i="1" s="1"/>
  <c r="M50" i="1"/>
  <c r="N50" i="1"/>
  <c r="O50" i="1"/>
  <c r="P50" i="1"/>
  <c r="Q50" i="1"/>
  <c r="I45" i="1"/>
  <c r="J45" i="1"/>
  <c r="K45" i="1"/>
  <c r="L45" i="1"/>
  <c r="M45" i="1"/>
  <c r="M49" i="1" s="1"/>
  <c r="N45" i="1"/>
  <c r="N49" i="1" s="1"/>
  <c r="O45" i="1"/>
  <c r="O49" i="1" s="1"/>
  <c r="P45" i="1"/>
  <c r="P49" i="1" s="1"/>
  <c r="Q45" i="1"/>
  <c r="Q49" i="1" s="1"/>
  <c r="R45" i="1"/>
  <c r="R49" i="1" s="1"/>
  <c r="I33" i="1"/>
  <c r="J33" i="1"/>
  <c r="K33" i="1"/>
  <c r="L33" i="1"/>
  <c r="M33" i="1"/>
  <c r="M39" i="1" s="1"/>
  <c r="M46" i="1" s="1"/>
  <c r="N33" i="1"/>
  <c r="N39" i="1" s="1"/>
  <c r="O33" i="1"/>
  <c r="O39" i="1" s="1"/>
  <c r="P33" i="1"/>
  <c r="P39" i="1" s="1"/>
  <c r="Q33" i="1"/>
  <c r="Q39" i="1" s="1"/>
  <c r="R33" i="1"/>
  <c r="R39" i="1" s="1"/>
  <c r="I14" i="1"/>
  <c r="I21" i="1" s="1"/>
  <c r="J14" i="1"/>
  <c r="J21" i="1" s="1"/>
  <c r="K14" i="1"/>
  <c r="K21" i="1" s="1"/>
  <c r="L14" i="1"/>
  <c r="L21" i="1" s="1"/>
  <c r="M14" i="1"/>
  <c r="M21" i="1" s="1"/>
  <c r="N14" i="1"/>
  <c r="N21" i="1" s="1"/>
  <c r="O14" i="1"/>
  <c r="O21" i="1" s="1"/>
  <c r="P14" i="1"/>
  <c r="P21" i="1" s="1"/>
  <c r="Q14" i="1"/>
  <c r="Q21" i="1" s="1"/>
  <c r="R14" i="1"/>
  <c r="R21" i="1" s="1"/>
  <c r="J90" i="10" l="1"/>
  <c r="J92" i="10"/>
  <c r="I90" i="10"/>
  <c r="I92" i="10"/>
  <c r="D90" i="10"/>
  <c r="D92" i="10"/>
  <c r="H90" i="10"/>
  <c r="H92" i="10"/>
  <c r="F90" i="10"/>
  <c r="F92" i="10"/>
  <c r="G90" i="10"/>
  <c r="G92" i="10"/>
  <c r="E90" i="10"/>
  <c r="E92" i="10"/>
  <c r="C90" i="10"/>
  <c r="C92" i="10"/>
  <c r="L56" i="10"/>
  <c r="L58" i="10" s="1"/>
  <c r="L60" i="10" s="1"/>
  <c r="L61" i="10" s="1"/>
  <c r="L76" i="10"/>
  <c r="L78" i="10" s="1"/>
  <c r="K56" i="10"/>
  <c r="K58" i="10" s="1"/>
  <c r="K60" i="10" s="1"/>
  <c r="K61" i="10" s="1"/>
  <c r="K76" i="10"/>
  <c r="K78" i="10" s="1"/>
  <c r="B56" i="10"/>
  <c r="B58" i="10" s="1"/>
  <c r="B60" i="10" s="1"/>
  <c r="B61" i="10" s="1"/>
  <c r="B76" i="10"/>
  <c r="B78" i="10" s="1"/>
  <c r="L49" i="1"/>
  <c r="L79" i="1"/>
  <c r="L83" i="1" s="1"/>
  <c r="K49" i="1"/>
  <c r="K79" i="1"/>
  <c r="K83" i="1" s="1"/>
  <c r="J49" i="1"/>
  <c r="J79" i="1"/>
  <c r="D80" i="1"/>
  <c r="G80" i="1"/>
  <c r="J39" i="1"/>
  <c r="J74" i="1"/>
  <c r="J78" i="1" s="1"/>
  <c r="F80" i="1"/>
  <c r="B80" i="1"/>
  <c r="I39" i="1"/>
  <c r="I46" i="1" s="1"/>
  <c r="I47" i="1" s="1"/>
  <c r="I74" i="1"/>
  <c r="I78" i="1" s="1"/>
  <c r="I49" i="1"/>
  <c r="I79" i="1"/>
  <c r="L39" i="1"/>
  <c r="L74" i="1"/>
  <c r="L78" i="1" s="1"/>
  <c r="L80" i="1" s="1"/>
  <c r="K39" i="1"/>
  <c r="K74" i="1"/>
  <c r="K78" i="1" s="1"/>
  <c r="K80" i="1" s="1"/>
  <c r="J46" i="1"/>
  <c r="I22" i="9"/>
  <c r="I24" i="9" s="1"/>
  <c r="I27" i="9" s="1"/>
  <c r="I23" i="19"/>
  <c r="I26" i="19" s="1"/>
  <c r="D23" i="19"/>
  <c r="D31" i="19"/>
  <c r="I29" i="19"/>
  <c r="G23" i="19"/>
  <c r="N23" i="19"/>
  <c r="O23" i="19"/>
  <c r="H23" i="19"/>
  <c r="F23" i="19"/>
  <c r="E23" i="19"/>
  <c r="J23" i="19"/>
  <c r="K23" i="19"/>
  <c r="C23" i="19"/>
  <c r="M23" i="19"/>
  <c r="L23" i="19"/>
  <c r="T16" i="9"/>
  <c r="T22" i="9" s="1"/>
  <c r="T24" i="9" s="1"/>
  <c r="T27" i="9" s="1"/>
  <c r="T34" i="9"/>
  <c r="G29" i="9"/>
  <c r="S16" i="9"/>
  <c r="S22" i="9" s="1"/>
  <c r="S34" i="9"/>
  <c r="R16" i="9"/>
  <c r="R29" i="9" s="1"/>
  <c r="R34" i="9"/>
  <c r="Q16" i="9"/>
  <c r="Q22" i="9" s="1"/>
  <c r="Q34" i="9"/>
  <c r="I30" i="9"/>
  <c r="E24" i="9"/>
  <c r="E27" i="9" s="1"/>
  <c r="E32" i="9"/>
  <c r="E29" i="9"/>
  <c r="D22" i="9"/>
  <c r="D24" i="9" s="1"/>
  <c r="D27" i="9" s="1"/>
  <c r="F32" i="9"/>
  <c r="F27" i="9"/>
  <c r="J16" i="9"/>
  <c r="J22" i="9" s="1"/>
  <c r="P16" i="9"/>
  <c r="P22" i="9" s="1"/>
  <c r="P24" i="9" s="1"/>
  <c r="P30" i="9" s="1"/>
  <c r="O16" i="9"/>
  <c r="O22" i="9" s="1"/>
  <c r="N16" i="9"/>
  <c r="N29" i="9" s="1"/>
  <c r="B16" i="9"/>
  <c r="B22" i="9" s="1"/>
  <c r="B32" i="9" s="1"/>
  <c r="M16" i="9"/>
  <c r="M29" i="9" s="1"/>
  <c r="K16" i="9"/>
  <c r="K22" i="9" s="1"/>
  <c r="K24" i="9" s="1"/>
  <c r="C16" i="9"/>
  <c r="C22" i="9" s="1"/>
  <c r="L16" i="9"/>
  <c r="L22" i="9" s="1"/>
  <c r="I32" i="9"/>
  <c r="I36" i="9"/>
  <c r="H22" i="9"/>
  <c r="H29" i="9"/>
  <c r="G24" i="9"/>
  <c r="G32" i="9"/>
  <c r="K46" i="1"/>
  <c r="K47" i="1" s="1"/>
  <c r="Q46" i="1"/>
  <c r="Q47" i="1" s="1"/>
  <c r="P46" i="1"/>
  <c r="P47" i="1" s="1"/>
  <c r="O46" i="1"/>
  <c r="O47" i="1" s="1"/>
  <c r="J50" i="10"/>
  <c r="J52" i="10" s="1"/>
  <c r="J56" i="10"/>
  <c r="J58" i="10" s="1"/>
  <c r="I50" i="10"/>
  <c r="I52" i="10" s="1"/>
  <c r="I56" i="10"/>
  <c r="I58" i="10" s="1"/>
  <c r="I60" i="10" s="1"/>
  <c r="I61" i="10" s="1"/>
  <c r="K50" i="10"/>
  <c r="K52" i="10" s="1"/>
  <c r="M50" i="10"/>
  <c r="M52" i="10" s="1"/>
  <c r="B50" i="10"/>
  <c r="L50" i="10"/>
  <c r="L52" i="10" s="1"/>
  <c r="B36" i="9"/>
  <c r="T29" i="9"/>
  <c r="P29" i="9"/>
  <c r="J29" i="9"/>
  <c r="S36" i="9"/>
  <c r="Q36" i="9"/>
  <c r="O36" i="9"/>
  <c r="M36" i="9"/>
  <c r="K36" i="9"/>
  <c r="S29" i="9"/>
  <c r="J36" i="9"/>
  <c r="R36" i="9"/>
  <c r="P36" i="9"/>
  <c r="N36" i="9"/>
  <c r="L36" i="9"/>
  <c r="S46" i="1"/>
  <c r="S47" i="1" s="1"/>
  <c r="S49" i="1"/>
  <c r="R46" i="1"/>
  <c r="R47" i="1" s="1"/>
  <c r="J47" i="1"/>
  <c r="N46" i="1"/>
  <c r="N47" i="1" s="1"/>
  <c r="M47" i="1"/>
  <c r="L46" i="1"/>
  <c r="L47" i="1" s="1"/>
  <c r="K90" i="10" l="1"/>
  <c r="K92" i="10"/>
  <c r="L90" i="10"/>
  <c r="L92" i="10"/>
  <c r="B90" i="10"/>
  <c r="B92" i="10"/>
  <c r="I80" i="1"/>
  <c r="I83" i="1"/>
  <c r="J80" i="1"/>
  <c r="J83" i="1"/>
  <c r="N26" i="19"/>
  <c r="N29" i="19"/>
  <c r="O26" i="19"/>
  <c r="O29" i="19"/>
  <c r="K29" i="19"/>
  <c r="K26" i="19"/>
  <c r="H29" i="19"/>
  <c r="H26" i="19"/>
  <c r="L26" i="19"/>
  <c r="L29" i="19"/>
  <c r="M26" i="19"/>
  <c r="M29" i="19"/>
  <c r="C29" i="19"/>
  <c r="C26" i="19"/>
  <c r="G29" i="19"/>
  <c r="G26" i="19"/>
  <c r="J29" i="19"/>
  <c r="J26" i="19"/>
  <c r="E29" i="19"/>
  <c r="E26" i="19"/>
  <c r="F26" i="19"/>
  <c r="F29" i="19"/>
  <c r="D29" i="19"/>
  <c r="D26" i="19"/>
  <c r="J60" i="10"/>
  <c r="J61" i="10" s="1"/>
  <c r="N56" i="10"/>
  <c r="N58" i="10" s="1"/>
  <c r="N60" i="10" s="1"/>
  <c r="N61" i="10" s="1"/>
  <c r="K29" i="9"/>
  <c r="Q29" i="9"/>
  <c r="R22" i="9"/>
  <c r="R24" i="9" s="1"/>
  <c r="R30" i="9" s="1"/>
  <c r="E30" i="9"/>
  <c r="K27" i="9"/>
  <c r="K30" i="9"/>
  <c r="M22" i="9"/>
  <c r="M24" i="9" s="1"/>
  <c r="B29" i="9"/>
  <c r="O29" i="9"/>
  <c r="D30" i="9"/>
  <c r="D32" i="9"/>
  <c r="L24" i="9"/>
  <c r="L32" i="9"/>
  <c r="C24" i="9"/>
  <c r="C32" i="9"/>
  <c r="B24" i="9"/>
  <c r="O24" i="9"/>
  <c r="O30" i="9" s="1"/>
  <c r="O32" i="9"/>
  <c r="J24" i="9"/>
  <c r="J32" i="9"/>
  <c r="N22" i="9"/>
  <c r="C29" i="9"/>
  <c r="L29" i="9"/>
  <c r="K32" i="9"/>
  <c r="P32" i="9"/>
  <c r="T30" i="9"/>
  <c r="T32" i="9"/>
  <c r="H24" i="9"/>
  <c r="H32" i="9"/>
  <c r="G30" i="9"/>
  <c r="G27" i="9"/>
  <c r="B52" i="10"/>
  <c r="N52" i="10"/>
  <c r="S24" i="9"/>
  <c r="S32" i="9"/>
  <c r="Q24" i="9"/>
  <c r="Q32" i="9"/>
  <c r="R32" i="9" l="1"/>
  <c r="M32" i="9"/>
  <c r="M27" i="9"/>
  <c r="M30" i="9"/>
  <c r="N24" i="9"/>
  <c r="N32" i="9"/>
  <c r="C27" i="9"/>
  <c r="C30" i="9"/>
  <c r="B27" i="9"/>
  <c r="B30" i="9"/>
  <c r="J27" i="9"/>
  <c r="J30" i="9"/>
  <c r="L27" i="9"/>
  <c r="L30" i="9"/>
  <c r="H27" i="9"/>
  <c r="H30" i="9"/>
  <c r="Q27" i="9"/>
  <c r="Q30" i="9"/>
  <c r="S27" i="9"/>
  <c r="S30" i="9"/>
  <c r="N27" i="9" l="1"/>
  <c r="N30" i="9"/>
</calcChain>
</file>

<file path=xl/sharedStrings.xml><?xml version="1.0" encoding="utf-8"?>
<sst xmlns="http://schemas.openxmlformats.org/spreadsheetml/2006/main" count="330" uniqueCount="236">
  <si>
    <t>ASSETS</t>
  </si>
  <si>
    <t>Current assets:</t>
  </si>
  <si>
    <t>Current liabilities:</t>
  </si>
  <si>
    <t>Interest expense</t>
  </si>
  <si>
    <t>Figures in thousands except per share amounts</t>
  </si>
  <si>
    <t xml:space="preserve">  Cash and cash equivalents</t>
  </si>
  <si>
    <t>TOTAL ASSETS</t>
  </si>
  <si>
    <t xml:space="preserve">  Accounts payable</t>
  </si>
  <si>
    <t xml:space="preserve">  Common stock</t>
  </si>
  <si>
    <t xml:space="preserve">  Retained earnings</t>
  </si>
  <si>
    <t>Shares outstanding</t>
  </si>
  <si>
    <t>Book value per share</t>
  </si>
  <si>
    <t>Gross profit</t>
  </si>
  <si>
    <t>Figures in thousands</t>
  </si>
  <si>
    <t>Total current assets</t>
  </si>
  <si>
    <t>Total current liabilities</t>
  </si>
  <si>
    <t xml:space="preserve">  Accumulated other comprehensive income (loss)</t>
  </si>
  <si>
    <t>Fiscal Years</t>
  </si>
  <si>
    <t>Investing activities:</t>
  </si>
  <si>
    <t>Financing activities:</t>
  </si>
  <si>
    <t>FCF as % of net income</t>
  </si>
  <si>
    <t>n/a</t>
  </si>
  <si>
    <t>CarMax, Inc. Balance Sheets</t>
  </si>
  <si>
    <t xml:space="preserve">  Restricted cash from collections on auto loan receivables</t>
  </si>
  <si>
    <t xml:space="preserve">  Accounts receivable, net</t>
  </si>
  <si>
    <t xml:space="preserve">  Inventory</t>
  </si>
  <si>
    <t xml:space="preserve">  Other current assets</t>
  </si>
  <si>
    <t>Auto loan receivables, net</t>
  </si>
  <si>
    <t>Property and equipment, net</t>
  </si>
  <si>
    <t>Deferred income taxes</t>
  </si>
  <si>
    <t>Other assets</t>
  </si>
  <si>
    <t>LIABILITIES AND SHAREHOLDERS' EQUITY</t>
  </si>
  <si>
    <t xml:space="preserve">  Accrued expenses and other current liabilities</t>
  </si>
  <si>
    <t xml:space="preserve">  Accrued income taxes</t>
  </si>
  <si>
    <t xml:space="preserve">  Short-term debt</t>
  </si>
  <si>
    <t xml:space="preserve">  Current portion of long-term debt</t>
  </si>
  <si>
    <t xml:space="preserve">  Current portion of finance and capital lease obligations</t>
  </si>
  <si>
    <t xml:space="preserve">  Current portion of non-recourse notes payable</t>
  </si>
  <si>
    <t>Long-term debt, excluding current portion</t>
  </si>
  <si>
    <t>Finance and capital lease obligations, excluding current portion</t>
  </si>
  <si>
    <t>Non-recourse notes payable, excluding current portion</t>
  </si>
  <si>
    <t>Other liabilities</t>
  </si>
  <si>
    <t>Total liabilities</t>
  </si>
  <si>
    <t>Shareholders' equity:</t>
  </si>
  <si>
    <t xml:space="preserve">  Capital in excess of par value</t>
  </si>
  <si>
    <t>Total shareholders' equity</t>
  </si>
  <si>
    <t>TOTAL LIABILITIES AND SHAREHOLDERS' EQUITY</t>
  </si>
  <si>
    <t xml:space="preserve">  Deferred income taxes</t>
  </si>
  <si>
    <t>Change in shares outstanding</t>
  </si>
  <si>
    <t xml:space="preserve">  Auto loan receivables held for sale</t>
  </si>
  <si>
    <t xml:space="preserve">  Retained interest in securitized receivables</t>
  </si>
  <si>
    <t>Off balance sheet prior to FY11</t>
  </si>
  <si>
    <t>CarMax Inc. Operating Summary</t>
  </si>
  <si>
    <t>Fiscal Years ending on February 28 or 29</t>
  </si>
  <si>
    <t>Sales and operating revenues:</t>
  </si>
  <si>
    <t xml:space="preserve">  Used vehicle sales</t>
  </si>
  <si>
    <t xml:space="preserve">  Wholesale vehicle sales</t>
  </si>
  <si>
    <t xml:space="preserve">  Other sales and revenues</t>
  </si>
  <si>
    <t>Net sales and operating revenues</t>
  </si>
  <si>
    <t>Selling general and administrative expenses</t>
  </si>
  <si>
    <t>Earnings before income taxes</t>
  </si>
  <si>
    <t>Income tax provision</t>
  </si>
  <si>
    <t>Net earnings</t>
  </si>
  <si>
    <t>Weighted average common shares, diluted</t>
  </si>
  <si>
    <t>Net earnings per share, diluted</t>
  </si>
  <si>
    <t xml:space="preserve">  New vehicle sales (included in "other") after FY15</t>
  </si>
  <si>
    <t>Other expense (income)</t>
  </si>
  <si>
    <t>Gross margin</t>
  </si>
  <si>
    <t>Net margin</t>
  </si>
  <si>
    <t>SG&amp;A as % of net sales</t>
  </si>
  <si>
    <t xml:space="preserve">Change in sales </t>
  </si>
  <si>
    <t xml:space="preserve">CarMax Inc Cash Flow Analysis </t>
  </si>
  <si>
    <t>CarMax Inc. Components of CAF Income</t>
  </si>
  <si>
    <t>Interest margin:</t>
  </si>
  <si>
    <t xml:space="preserve">  Interest and fee income</t>
  </si>
  <si>
    <t xml:space="preserve">  Interest expense</t>
  </si>
  <si>
    <t>Total interest margin</t>
  </si>
  <si>
    <t>Provision for loan losses</t>
  </si>
  <si>
    <t>Total interest margin after provision for loan losses</t>
  </si>
  <si>
    <t>Total direct expenses</t>
  </si>
  <si>
    <t>CarMax Auto Finance income</t>
  </si>
  <si>
    <t>Total averaged managed receivables</t>
  </si>
  <si>
    <t>Net loans originated</t>
  </si>
  <si>
    <t>Net CAF penetration rate</t>
  </si>
  <si>
    <t>Weighted average contract rate</t>
  </si>
  <si>
    <t>Ending allowance for loan losses</t>
  </si>
  <si>
    <t>Weighted average credit score</t>
  </si>
  <si>
    <t>Weighted average loan-to-value (LTV)</t>
  </si>
  <si>
    <t>Weighed average term (in months)</t>
  </si>
  <si>
    <t>Net credit losses on managed receivables</t>
  </si>
  <si>
    <t>Net credit losses as % of avg total managed receivables</t>
  </si>
  <si>
    <t>Past due accounts as % of ending managed receivables</t>
  </si>
  <si>
    <t>Average recovery rate</t>
  </si>
  <si>
    <t>Vehicle units financed</t>
  </si>
  <si>
    <t>Data does not appear in 10-K</t>
  </si>
  <si>
    <t>Total used car stores</t>
  </si>
  <si>
    <t>Vehicles sold:</t>
  </si>
  <si>
    <t xml:space="preserve">  Wholesale auctions</t>
  </si>
  <si>
    <t>Total vehicles sold</t>
  </si>
  <si>
    <t>Average selling prices:</t>
  </si>
  <si>
    <t xml:space="preserve">  Used vehicles</t>
  </si>
  <si>
    <t xml:space="preserve">  Wholesale vehicles</t>
  </si>
  <si>
    <t xml:space="preserve">  New vehicles</t>
  </si>
  <si>
    <t xml:space="preserve">  New cars </t>
  </si>
  <si>
    <t xml:space="preserve">  Used cars</t>
  </si>
  <si>
    <t>Per unit information:</t>
  </si>
  <si>
    <t xml:space="preserve">  Used vehicle gross profit</t>
  </si>
  <si>
    <t xml:space="preserve">  Wholesale vehicle gross profit</t>
  </si>
  <si>
    <t xml:space="preserve">  New vehicle gross profit</t>
  </si>
  <si>
    <t>Adjustments to reconcile net earnings to net cash used in operating earnings:</t>
  </si>
  <si>
    <t>For Fiscal Year ended Feb 28 or 29</t>
  </si>
  <si>
    <t xml:space="preserve">  Depreciation and amortization</t>
  </si>
  <si>
    <t xml:space="preserve">  Share-based compensation expense</t>
  </si>
  <si>
    <t xml:space="preserve">  Provision for loan losses</t>
  </si>
  <si>
    <t xml:space="preserve">  Provision for cancellation reserves</t>
  </si>
  <si>
    <t xml:space="preserve">  Deferred income tax provision (benefit)</t>
  </si>
  <si>
    <t xml:space="preserve">  Loss on disposition of assets and other</t>
  </si>
  <si>
    <t xml:space="preserve">  Net decrease (increase) in: </t>
  </si>
  <si>
    <t xml:space="preserve">    Accounts receivable, net</t>
  </si>
  <si>
    <t xml:space="preserve">    Inventory</t>
  </si>
  <si>
    <t xml:space="preserve">    Other current assets</t>
  </si>
  <si>
    <t xml:space="preserve">    Auto loan receivables, net</t>
  </si>
  <si>
    <t xml:space="preserve">    Other assets</t>
  </si>
  <si>
    <t xml:space="preserve">  Net (decrease) increase in:</t>
  </si>
  <si>
    <t>Net cash used in operating activities</t>
  </si>
  <si>
    <t>Operating activities:</t>
  </si>
  <si>
    <t xml:space="preserve">  Capital expenditures</t>
  </si>
  <si>
    <t xml:space="preserve">  Proceeds from sales of assets</t>
  </si>
  <si>
    <t xml:space="preserve">  Increase in restricted cash from collections on auto loan receivables</t>
  </si>
  <si>
    <t xml:space="preserve">  Increase in restricted cash in reserve accounts</t>
  </si>
  <si>
    <t xml:space="preserve">  Release of restricted cash from reserve accounts</t>
  </si>
  <si>
    <t xml:space="preserve">  Purchases of money market securities, net</t>
  </si>
  <si>
    <t xml:space="preserve">  Purchases of trading securities</t>
  </si>
  <si>
    <t xml:space="preserve">  Sales of trading securities</t>
  </si>
  <si>
    <t>Net cash used in investing activities</t>
  </si>
  <si>
    <t xml:space="preserve">  (Decrease) increase in short-term debt, net</t>
  </si>
  <si>
    <t xml:space="preserve">  Proceeds from issuances of long-term debt</t>
  </si>
  <si>
    <t xml:space="preserve">  Payments on long-term debt</t>
  </si>
  <si>
    <t xml:space="preserve">  Cash paid for debt issuance costs</t>
  </si>
  <si>
    <t xml:space="preserve">  Payments on finance and capital lease obligations</t>
  </si>
  <si>
    <t xml:space="preserve">  Issuances of non-recourse notes payable</t>
  </si>
  <si>
    <t xml:space="preserve">  Payments on non-recourse notes payable</t>
  </si>
  <si>
    <t xml:space="preserve">  Repurchase and retirement of common stock</t>
  </si>
  <si>
    <t xml:space="preserve">  Equity issuances</t>
  </si>
  <si>
    <t xml:space="preserve">  Excess tax benefits from share-based payment arrangements</t>
  </si>
  <si>
    <t>Net cash provided by financing activities</t>
  </si>
  <si>
    <t>Increase (decrease) in cash and cash equivalents</t>
  </si>
  <si>
    <t>Cash and cash equivalents at beginning of year</t>
  </si>
  <si>
    <t>Cash and cash equivalents at end of year</t>
  </si>
  <si>
    <t xml:space="preserve">    Other liabilities</t>
  </si>
  <si>
    <t>Adjusted cash flow from operations:</t>
  </si>
  <si>
    <t xml:space="preserve">  Cash flow from operations, as reported</t>
  </si>
  <si>
    <t xml:space="preserve">  Add:  Net issuances of non-recourse notes payable</t>
  </si>
  <si>
    <t>Adjusted cash flow provided by operating activities:</t>
  </si>
  <si>
    <t>FCF = Adjusted CF from operating activities less capex</t>
  </si>
  <si>
    <t xml:space="preserve">    Accounts  payable, accrued expenses and other current liabilities &amp; acc inc tax</t>
  </si>
  <si>
    <t>Allowance for loan losses as % ending managed receivables</t>
  </si>
  <si>
    <t>CarMax Auto Finance Income</t>
  </si>
  <si>
    <t>CarMax auto finance income as % of Pre-tax earnings</t>
  </si>
  <si>
    <t>Operating lease assets</t>
  </si>
  <si>
    <t xml:space="preserve">  Current portion of operating lease liabilities</t>
  </si>
  <si>
    <t>Operating lease liabilities, excluding current portion</t>
  </si>
  <si>
    <t>Goodwill</t>
  </si>
  <si>
    <t>3 Months</t>
  </si>
  <si>
    <t>Total cost of sales</t>
  </si>
  <si>
    <t>Cost of sales:</t>
  </si>
  <si>
    <t xml:space="preserve">  Used vehicle cost of sales</t>
  </si>
  <si>
    <t xml:space="preserve">  Wholesale vehicle cost of sales</t>
  </si>
  <si>
    <t xml:space="preserve">  Other cost of sales</t>
  </si>
  <si>
    <t>Depreciation and amortization</t>
  </si>
  <si>
    <t>Included in SG&amp;A</t>
  </si>
  <si>
    <t>Used vehicles</t>
  </si>
  <si>
    <t>Wholesale vehicles</t>
  </si>
  <si>
    <t>New vehicles</t>
  </si>
  <si>
    <t>Updated 8/2/2022</t>
  </si>
  <si>
    <t xml:space="preserve">  Purchases of investments</t>
  </si>
  <si>
    <t xml:space="preserve">  Sales of investments</t>
  </si>
  <si>
    <t>Including restricted cash starting with 2017 statements of cash flow</t>
  </si>
  <si>
    <t xml:space="preserve">  Business acquisition, net of cash acquired</t>
  </si>
  <si>
    <t xml:space="preserve">  Proceeds from sale of business</t>
  </si>
  <si>
    <t xml:space="preserve">  Change in auto loan receivables, net (cash flow from operations)</t>
  </si>
  <si>
    <t xml:space="preserve">  Issuances of non-recourse notes payable (cash flow from financing)</t>
  </si>
  <si>
    <t xml:space="preserve">  Payments on non-recourse notes payable (cash flow from financing)</t>
  </si>
  <si>
    <t>Cumulative
FY12-Q123</t>
  </si>
  <si>
    <t>Total Effect of Auto Loans:</t>
  </si>
  <si>
    <t>Net change in cash flows from auto loans</t>
  </si>
  <si>
    <t>FROM BALANCE SHEET</t>
  </si>
  <si>
    <t xml:space="preserve">  Auto loan receivables, net</t>
  </si>
  <si>
    <t xml:space="preserve">  Non-recourse notes payable (including current portion)</t>
  </si>
  <si>
    <t>Total other income (expense)</t>
  </si>
  <si>
    <t xml:space="preserve">CAF income as % avg managed receivables </t>
  </si>
  <si>
    <t xml:space="preserve">Provision for loan loss as % avg managed rec </t>
  </si>
  <si>
    <t xml:space="preserve">Figures in millions  </t>
  </si>
  <si>
    <t>Auto loan analysis</t>
  </si>
  <si>
    <t xml:space="preserve">  Non-recourse notes payable, excluding current portion</t>
  </si>
  <si>
    <t>Less:</t>
  </si>
  <si>
    <t>Net of Auto loan receivables less non-recourse notes payable</t>
  </si>
  <si>
    <t>Restricted cash from collections on auto loan receivables</t>
  </si>
  <si>
    <t>CarMax Inc. Quarterly Data</t>
  </si>
  <si>
    <t>Fiscal 2022</t>
  </si>
  <si>
    <t>Fiscal 2023</t>
  </si>
  <si>
    <t>Fiscal 2021</t>
  </si>
  <si>
    <t>Fiscal 2020</t>
  </si>
  <si>
    <t>Quarters Ending on</t>
  </si>
  <si>
    <t>Gross profit margin per unit (%)</t>
  </si>
  <si>
    <t>Gross Margins</t>
  </si>
  <si>
    <t>Cash</t>
  </si>
  <si>
    <t xml:space="preserve">Restricted Cash </t>
  </si>
  <si>
    <t>Inventory</t>
  </si>
  <si>
    <t>Other current assets</t>
  </si>
  <si>
    <t>Assets</t>
  </si>
  <si>
    <t xml:space="preserve">  Total current assets</t>
  </si>
  <si>
    <t>Other</t>
  </si>
  <si>
    <t>Total Assets</t>
  </si>
  <si>
    <t>CONDENSED BALANCE SHEET DATA</t>
  </si>
  <si>
    <t>Liabilities and Shareholders Equity</t>
  </si>
  <si>
    <t>Current liabilities</t>
  </si>
  <si>
    <t>Total Liabilities</t>
  </si>
  <si>
    <t>Total liabilities and shareholders' equity</t>
  </si>
  <si>
    <t>SELECTED CASH FLOW DATA:</t>
  </si>
  <si>
    <t xml:space="preserve">  Repoted cash flow from operations</t>
  </si>
  <si>
    <t xml:space="preserve">  Add: net issuances of non-recourse notes payable</t>
  </si>
  <si>
    <r>
      <rPr>
        <b/>
        <sz val="14"/>
        <color theme="1"/>
        <rFont val="Calibri"/>
        <family val="2"/>
        <scheme val="minor"/>
      </rPr>
      <t>Investing activities:</t>
    </r>
    <r>
      <rPr>
        <sz val="14"/>
        <color theme="1"/>
        <rFont val="Calibri"/>
        <family val="2"/>
        <scheme val="minor"/>
      </rPr>
      <t xml:space="preserve"> </t>
    </r>
  </si>
  <si>
    <t>Capital expenditures</t>
  </si>
  <si>
    <t>Acquisition of Edmunds</t>
  </si>
  <si>
    <t>Other investing activities</t>
  </si>
  <si>
    <t>Total investing activities</t>
  </si>
  <si>
    <r>
      <t xml:space="preserve">Net increase (decrease) in debt </t>
    </r>
    <r>
      <rPr>
        <b/>
        <sz val="14"/>
        <color theme="1"/>
        <rFont val="Calibri"/>
        <family val="2"/>
        <scheme val="minor"/>
      </rPr>
      <t>excluding</t>
    </r>
    <r>
      <rPr>
        <sz val="14"/>
        <color theme="1"/>
        <rFont val="Calibri"/>
        <family val="2"/>
        <scheme val="minor"/>
      </rPr>
      <t xml:space="preserve"> non-recourse notes payable </t>
    </r>
  </si>
  <si>
    <t>Stock repurchases</t>
  </si>
  <si>
    <t>Stock issuance</t>
  </si>
  <si>
    <t>Other financing activities</t>
  </si>
  <si>
    <t>Total financing activities (adjusted)</t>
  </si>
  <si>
    <r>
      <rPr>
        <b/>
        <sz val="14"/>
        <color theme="1"/>
        <rFont val="Calibri"/>
        <family val="2"/>
        <scheme val="minor"/>
      </rPr>
      <t>Free cash flow</t>
    </r>
    <r>
      <rPr>
        <sz val="14"/>
        <color theme="1"/>
        <rFont val="Calibri"/>
        <family val="2"/>
        <scheme val="minor"/>
      </rPr>
      <t xml:space="preserve"> </t>
    </r>
    <r>
      <rPr>
        <i/>
        <sz val="14"/>
        <color theme="1"/>
        <rFont val="Calibri"/>
        <family val="2"/>
        <scheme val="minor"/>
      </rPr>
      <t>(Adjusted cash flow from operations - capex)</t>
    </r>
  </si>
  <si>
    <t>Updated 9/29/2022</t>
  </si>
  <si>
    <t>Q2 FY23</t>
  </si>
  <si>
    <t>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</si>
</sst>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409]mmmm\ d\,\ yyyy;@"/>
    <numFmt numFmtId="165" formatCode="_(* #,##0_);_(* \(#,##0\);_(* &quot;-&quot;??_);_(@_)"/>
    <numFmt numFmtId="166" formatCode="0.0%"/>
    <numFmt numFmtId="167" formatCode="_(* #,##0.0_);_(* \(#,##0.0\);_(* &quot;-&quot;??_);_(@_)"/>
    <numFmt numFmtId="168" formatCode="_(* #,##0.000_);_(* \(#,##0.000\);_(* &quot;-&quot;??_);_(@_)"/>
  </numFmts>
  <fonts count="10" x14ac:knownFonts="1">
    <font>
      <sz val="11"/>
      <color theme="1"/>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b/>
      <sz val="14"/>
      <color rgb="FFFF0000"/>
      <name val="Calibri"/>
      <family val="2"/>
      <scheme val="minor"/>
    </font>
    <font>
      <sz val="14"/>
      <color theme="1"/>
      <name val="Calibri"/>
      <family val="2"/>
      <scheme val="minor"/>
    </font>
    <font>
      <i/>
      <sz val="14"/>
      <color theme="1"/>
      <name val="Calibri"/>
      <family val="2"/>
      <scheme val="minor"/>
    </font>
    <font>
      <b/>
      <sz val="14"/>
      <name val="Calibri"/>
      <family val="2"/>
      <scheme val="minor"/>
    </font>
    <font>
      <b/>
      <sz val="16"/>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59999389629810485"/>
        <bgColor indexed="64"/>
      </patternFill>
    </fill>
  </fills>
  <borders count="11">
    <border>
      <left/>
      <right/>
      <top/>
      <bottom/>
      <diagonal/>
    </border>
    <border>
      <left/>
      <right/>
      <top style="thin">
        <color auto="1"/>
      </top>
      <bottom/>
      <diagonal/>
    </border>
    <border>
      <left/>
      <right/>
      <top style="thin">
        <color auto="1"/>
      </top>
      <bottom style="double">
        <color auto="1"/>
      </bottom>
      <diagonal/>
    </border>
    <border>
      <left/>
      <right style="double">
        <color auto="1"/>
      </right>
      <top/>
      <bottom/>
      <diagonal/>
    </border>
    <border>
      <left/>
      <right style="double">
        <color auto="1"/>
      </right>
      <top style="thin">
        <color auto="1"/>
      </top>
      <bottom/>
      <diagonal/>
    </border>
    <border>
      <left/>
      <right style="double">
        <color auto="1"/>
      </right>
      <top style="thin">
        <color auto="1"/>
      </top>
      <bottom style="double">
        <color auto="1"/>
      </bottom>
      <diagonal/>
    </border>
    <border>
      <left style="double">
        <color auto="1"/>
      </left>
      <right/>
      <top/>
      <bottom/>
      <diagonal/>
    </border>
    <border>
      <left/>
      <right/>
      <top/>
      <bottom style="thin">
        <color auto="1"/>
      </bottom>
      <diagonal/>
    </border>
    <border>
      <left/>
      <right/>
      <top style="thin">
        <color indexed="64"/>
      </top>
      <bottom style="thin">
        <color auto="1"/>
      </bottom>
      <diagonal/>
    </border>
    <border>
      <left/>
      <right style="double">
        <color indexed="64"/>
      </right>
      <top style="thin">
        <color indexed="64"/>
      </top>
      <bottom style="thin">
        <color auto="1"/>
      </bottom>
      <diagonal/>
    </border>
    <border>
      <left/>
      <right/>
      <top style="double">
        <color auto="1"/>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cellStyleXfs>
  <cellXfs count="114">
    <xf numFmtId="0" fontId="0" fillId="0" borderId="0" xfId="0"/>
    <xf numFmtId="0" fontId="3" fillId="3" borderId="0" xfId="0" applyFont="1" applyFill="1"/>
    <xf numFmtId="0" fontId="5" fillId="0" borderId="0" xfId="0" applyFont="1"/>
    <xf numFmtId="164" fontId="6" fillId="0" borderId="0" xfId="0" applyNumberFormat="1" applyFont="1"/>
    <xf numFmtId="0" fontId="4" fillId="2" borderId="0" xfId="0" applyFont="1" applyFill="1"/>
    <xf numFmtId="0" fontId="3" fillId="2" borderId="0" xfId="0" applyFont="1" applyFill="1" applyAlignment="1">
      <alignment horizontal="center"/>
    </xf>
    <xf numFmtId="0" fontId="3" fillId="3" borderId="0" xfId="0" applyFont="1" applyFill="1" applyAlignment="1">
      <alignment horizontal="center"/>
    </xf>
    <xf numFmtId="0" fontId="3" fillId="3" borderId="0" xfId="1" applyNumberFormat="1" applyFont="1" applyFill="1" applyAlignment="1">
      <alignment horizontal="center"/>
    </xf>
    <xf numFmtId="14" fontId="3" fillId="2" borderId="0" xfId="0" applyNumberFormat="1" applyFont="1" applyFill="1" applyAlignment="1">
      <alignment horizontal="center"/>
    </xf>
    <xf numFmtId="14" fontId="3" fillId="3" borderId="0" xfId="0" applyNumberFormat="1" applyFont="1" applyFill="1" applyAlignment="1">
      <alignment horizontal="center"/>
    </xf>
    <xf numFmtId="14" fontId="3" fillId="3" borderId="0" xfId="1" applyNumberFormat="1" applyFont="1" applyFill="1" applyAlignment="1">
      <alignment horizontal="center"/>
    </xf>
    <xf numFmtId="14" fontId="3" fillId="0" borderId="0" xfId="0" applyNumberFormat="1" applyFont="1"/>
    <xf numFmtId="0" fontId="3" fillId="0" borderId="0" xfId="0" applyFont="1"/>
    <xf numFmtId="165" fontId="3" fillId="0" borderId="0" xfId="1" applyNumberFormat="1" applyFont="1"/>
    <xf numFmtId="165" fontId="5" fillId="0" borderId="0" xfId="1" applyNumberFormat="1" applyFont="1" applyFill="1"/>
    <xf numFmtId="165" fontId="5" fillId="0" borderId="0" xfId="1" applyNumberFormat="1" applyFont="1"/>
    <xf numFmtId="165" fontId="5" fillId="0" borderId="1" xfId="1" applyNumberFormat="1" applyFont="1" applyFill="1" applyBorder="1"/>
    <xf numFmtId="165" fontId="3" fillId="0" borderId="2" xfId="1" applyNumberFormat="1" applyFont="1" applyBorder="1"/>
    <xf numFmtId="165" fontId="5" fillId="0" borderId="1" xfId="1" applyNumberFormat="1" applyFont="1" applyBorder="1"/>
    <xf numFmtId="165" fontId="3" fillId="0" borderId="1" xfId="1" applyNumberFormat="1" applyFont="1" applyBorder="1"/>
    <xf numFmtId="43" fontId="5" fillId="0" borderId="0" xfId="1" applyFont="1"/>
    <xf numFmtId="9" fontId="5" fillId="0" borderId="0" xfId="2" applyFont="1"/>
    <xf numFmtId="165" fontId="5" fillId="0" borderId="0" xfId="2" applyNumberFormat="1" applyFont="1"/>
    <xf numFmtId="164" fontId="5" fillId="0" borderId="0" xfId="0" applyNumberFormat="1" applyFont="1"/>
    <xf numFmtId="164" fontId="5" fillId="2" borderId="0" xfId="0" applyNumberFormat="1" applyFont="1" applyFill="1"/>
    <xf numFmtId="0" fontId="6" fillId="2" borderId="0" xfId="0" applyFont="1" applyFill="1"/>
    <xf numFmtId="14" fontId="3" fillId="2" borderId="3" xfId="0" applyNumberFormat="1" applyFont="1" applyFill="1" applyBorder="1" applyAlignment="1">
      <alignment horizontal="center"/>
    </xf>
    <xf numFmtId="165" fontId="3" fillId="0" borderId="0" xfId="1" applyNumberFormat="1" applyFont="1" applyBorder="1"/>
    <xf numFmtId="165" fontId="3" fillId="0" borderId="3" xfId="1" applyNumberFormat="1" applyFont="1" applyBorder="1"/>
    <xf numFmtId="165" fontId="3" fillId="0" borderId="0" xfId="1" applyNumberFormat="1" applyFont="1" applyFill="1"/>
    <xf numFmtId="165" fontId="5" fillId="0" borderId="3" xfId="1" applyNumberFormat="1" applyFont="1" applyBorder="1"/>
    <xf numFmtId="165" fontId="3" fillId="0" borderId="4" xfId="1" applyNumberFormat="1" applyFont="1" applyBorder="1"/>
    <xf numFmtId="165" fontId="5" fillId="0" borderId="4" xfId="1" applyNumberFormat="1" applyFont="1" applyBorder="1"/>
    <xf numFmtId="0" fontId="5" fillId="4" borderId="0" xfId="0" applyFont="1" applyFill="1"/>
    <xf numFmtId="165" fontId="5" fillId="4" borderId="0" xfId="1" applyNumberFormat="1" applyFont="1" applyFill="1"/>
    <xf numFmtId="165" fontId="5" fillId="4" borderId="3" xfId="1" applyNumberFormat="1" applyFont="1" applyFill="1" applyBorder="1"/>
    <xf numFmtId="165" fontId="3" fillId="0" borderId="5" xfId="1" applyNumberFormat="1" applyFont="1" applyBorder="1"/>
    <xf numFmtId="43" fontId="5" fillId="0" borderId="3" xfId="1" applyFont="1" applyBorder="1"/>
    <xf numFmtId="166" fontId="5" fillId="0" borderId="0" xfId="2" applyNumberFormat="1" applyFont="1"/>
    <xf numFmtId="166" fontId="5" fillId="0" borderId="3" xfId="2" applyNumberFormat="1" applyFont="1" applyBorder="1"/>
    <xf numFmtId="9" fontId="5" fillId="0" borderId="3" xfId="2" applyFont="1" applyBorder="1"/>
    <xf numFmtId="165" fontId="5" fillId="0" borderId="0" xfId="1" applyNumberFormat="1" applyFont="1" applyAlignment="1">
      <alignment horizontal="right"/>
    </xf>
    <xf numFmtId="165" fontId="5" fillId="0" borderId="3" xfId="1" applyNumberFormat="1" applyFont="1" applyBorder="1" applyAlignment="1">
      <alignment horizontal="right"/>
    </xf>
    <xf numFmtId="165" fontId="5" fillId="0" borderId="0" xfId="1" applyNumberFormat="1" applyFont="1" applyBorder="1"/>
    <xf numFmtId="167" fontId="5" fillId="0" borderId="0" xfId="1" applyNumberFormat="1" applyFont="1" applyBorder="1"/>
    <xf numFmtId="167" fontId="5" fillId="0" borderId="3" xfId="1" applyNumberFormat="1" applyFont="1" applyBorder="1"/>
    <xf numFmtId="167" fontId="5" fillId="0" borderId="0" xfId="1" applyNumberFormat="1" applyFont="1"/>
    <xf numFmtId="167" fontId="5" fillId="0" borderId="0" xfId="1" applyNumberFormat="1" applyFont="1" applyFill="1"/>
    <xf numFmtId="167" fontId="5" fillId="0" borderId="1" xfId="1" applyNumberFormat="1" applyFont="1" applyBorder="1"/>
    <xf numFmtId="167" fontId="5" fillId="0" borderId="4" xfId="1" applyNumberFormat="1" applyFont="1" applyBorder="1"/>
    <xf numFmtId="167" fontId="3" fillId="0" borderId="2" xfId="1" applyNumberFormat="1" applyFont="1" applyBorder="1"/>
    <xf numFmtId="167" fontId="3" fillId="0" borderId="5" xfId="1" applyNumberFormat="1" applyFont="1" applyBorder="1"/>
    <xf numFmtId="168" fontId="5" fillId="0" borderId="0" xfId="1" applyNumberFormat="1" applyFont="1"/>
    <xf numFmtId="166" fontId="5" fillId="0" borderId="0" xfId="2" applyNumberFormat="1" applyFont="1" applyBorder="1"/>
    <xf numFmtId="166" fontId="5" fillId="0" borderId="0" xfId="2" applyNumberFormat="1" applyFont="1" applyFill="1"/>
    <xf numFmtId="10" fontId="5" fillId="0" borderId="0" xfId="2" applyNumberFormat="1" applyFont="1"/>
    <xf numFmtId="10" fontId="5" fillId="0" borderId="0" xfId="1" applyNumberFormat="1" applyFont="1" applyFill="1"/>
    <xf numFmtId="166" fontId="5" fillId="0" borderId="0" xfId="1" applyNumberFormat="1" applyFont="1" applyFill="1"/>
    <xf numFmtId="0" fontId="6" fillId="0" borderId="0" xfId="0" applyFont="1"/>
    <xf numFmtId="164" fontId="3" fillId="2" borderId="0" xfId="0" applyNumberFormat="1" applyFont="1" applyFill="1" applyAlignment="1">
      <alignment horizontal="center"/>
    </xf>
    <xf numFmtId="165" fontId="3" fillId="0" borderId="0" xfId="0" applyNumberFormat="1" applyFont="1"/>
    <xf numFmtId="165" fontId="5" fillId="0" borderId="0" xfId="0" applyNumberFormat="1" applyFont="1"/>
    <xf numFmtId="165" fontId="5" fillId="0" borderId="0" xfId="1" applyNumberFormat="1" applyFont="1" applyBorder="1" applyAlignment="1">
      <alignment horizontal="right"/>
    </xf>
    <xf numFmtId="165" fontId="5" fillId="0" borderId="8" xfId="1" applyNumberFormat="1" applyFont="1" applyBorder="1"/>
    <xf numFmtId="165" fontId="5" fillId="0" borderId="9" xfId="1" applyNumberFormat="1" applyFont="1" applyBorder="1"/>
    <xf numFmtId="165" fontId="5" fillId="0" borderId="0" xfId="1" applyNumberFormat="1" applyFont="1" applyFill="1" applyBorder="1" applyAlignment="1"/>
    <xf numFmtId="165" fontId="5" fillId="0" borderId="3" xfId="1" applyNumberFormat="1" applyFont="1" applyFill="1" applyBorder="1" applyAlignment="1"/>
    <xf numFmtId="10" fontId="5" fillId="0" borderId="0" xfId="2" applyNumberFormat="1" applyFont="1" applyBorder="1" applyAlignment="1">
      <alignment vertical="center"/>
    </xf>
    <xf numFmtId="10" fontId="5" fillId="0" borderId="3" xfId="2" applyNumberFormat="1" applyFont="1" applyBorder="1" applyAlignment="1">
      <alignment vertical="center"/>
    </xf>
    <xf numFmtId="167" fontId="5" fillId="0" borderId="0" xfId="1" applyNumberFormat="1" applyFont="1" applyBorder="1" applyAlignment="1">
      <alignment vertical="center"/>
    </xf>
    <xf numFmtId="167" fontId="5" fillId="0" borderId="3" xfId="1" applyNumberFormat="1" applyFont="1" applyBorder="1" applyAlignment="1">
      <alignment vertical="center"/>
    </xf>
    <xf numFmtId="165" fontId="5" fillId="0" borderId="0" xfId="1" applyNumberFormat="1" applyFont="1" applyBorder="1" applyAlignment="1">
      <alignment vertical="center"/>
    </xf>
    <xf numFmtId="165" fontId="5" fillId="0" borderId="3" xfId="1" applyNumberFormat="1" applyFont="1" applyBorder="1" applyAlignment="1">
      <alignment vertical="center"/>
    </xf>
    <xf numFmtId="166" fontId="5" fillId="0" borderId="0" xfId="2" applyNumberFormat="1" applyFont="1" applyBorder="1" applyAlignment="1">
      <alignment vertical="center"/>
    </xf>
    <xf numFmtId="166" fontId="5" fillId="0" borderId="3" xfId="2" applyNumberFormat="1" applyFont="1" applyBorder="1" applyAlignment="1">
      <alignment vertical="center"/>
    </xf>
    <xf numFmtId="165" fontId="5" fillId="0" borderId="0" xfId="1" applyNumberFormat="1" applyFont="1" applyAlignment="1">
      <alignment vertical="center"/>
    </xf>
    <xf numFmtId="165" fontId="5" fillId="0" borderId="7" xfId="1" applyNumberFormat="1" applyFont="1" applyBorder="1" applyAlignment="1">
      <alignment vertical="center"/>
    </xf>
    <xf numFmtId="165" fontId="5" fillId="0" borderId="0" xfId="1" applyNumberFormat="1" applyFont="1" applyFill="1" applyAlignment="1">
      <alignment vertical="center"/>
    </xf>
    <xf numFmtId="165" fontId="5" fillId="0" borderId="7" xfId="1" applyNumberFormat="1" applyFont="1" applyFill="1" applyBorder="1" applyAlignment="1">
      <alignment vertical="center"/>
    </xf>
    <xf numFmtId="165" fontId="5" fillId="0" borderId="0" xfId="1" applyNumberFormat="1" applyFont="1" applyAlignment="1"/>
    <xf numFmtId="165" fontId="5" fillId="4" borderId="0" xfId="1" applyNumberFormat="1" applyFont="1" applyFill="1" applyBorder="1"/>
    <xf numFmtId="43" fontId="5" fillId="0" borderId="0" xfId="1" applyFont="1" applyBorder="1"/>
    <xf numFmtId="9" fontId="5" fillId="0" borderId="0" xfId="2" applyFont="1" applyBorder="1"/>
    <xf numFmtId="0" fontId="6" fillId="3" borderId="0" xfId="0" applyFont="1" applyFill="1"/>
    <xf numFmtId="14" fontId="3" fillId="6" borderId="0" xfId="0" applyNumberFormat="1" applyFont="1" applyFill="1" applyAlignment="1">
      <alignment horizontal="center"/>
    </xf>
    <xf numFmtId="0" fontId="3" fillId="3" borderId="0" xfId="0" applyFont="1" applyFill="1" applyAlignment="1">
      <alignment horizontal="right"/>
    </xf>
    <xf numFmtId="0" fontId="8" fillId="3" borderId="0" xfId="0" applyFont="1" applyFill="1"/>
    <xf numFmtId="165" fontId="3" fillId="0" borderId="0" xfId="1" applyNumberFormat="1" applyFont="1" applyAlignment="1"/>
    <xf numFmtId="166" fontId="3" fillId="0" borderId="0" xfId="2" applyNumberFormat="1" applyFont="1"/>
    <xf numFmtId="166" fontId="3" fillId="0" borderId="3" xfId="2" applyNumberFormat="1" applyFont="1" applyBorder="1"/>
    <xf numFmtId="166" fontId="3" fillId="0" borderId="0" xfId="2" applyNumberFormat="1" applyFont="1" applyBorder="1"/>
    <xf numFmtId="165" fontId="5" fillId="0" borderId="1" xfId="0" applyNumberFormat="1" applyFont="1" applyBorder="1"/>
    <xf numFmtId="165" fontId="3" fillId="0" borderId="2" xfId="0" applyNumberFormat="1" applyFont="1" applyBorder="1"/>
    <xf numFmtId="9" fontId="5" fillId="0" borderId="0" xfId="0" applyNumberFormat="1" applyFont="1"/>
    <xf numFmtId="0" fontId="5" fillId="3" borderId="0" xfId="0" applyFont="1" applyFill="1"/>
    <xf numFmtId="165" fontId="3" fillId="0" borderId="1" xfId="0" applyNumberFormat="1" applyFont="1" applyBorder="1"/>
    <xf numFmtId="0" fontId="9" fillId="3" borderId="0" xfId="0" applyFont="1" applyFill="1"/>
    <xf numFmtId="165" fontId="3" fillId="5" borderId="0" xfId="1" applyNumberFormat="1" applyFont="1" applyFill="1" applyAlignment="1">
      <alignment horizontal="center"/>
    </xf>
    <xf numFmtId="0" fontId="7" fillId="3" borderId="0" xfId="0" applyFont="1" applyFill="1" applyAlignment="1">
      <alignment horizontal="center" wrapText="1"/>
    </xf>
    <xf numFmtId="165" fontId="3" fillId="0" borderId="0" xfId="1" applyNumberFormat="1" applyFont="1" applyAlignment="1">
      <alignment horizontal="center"/>
    </xf>
    <xf numFmtId="0" fontId="3" fillId="2" borderId="0" xfId="0" applyFont="1" applyFill="1" applyAlignment="1">
      <alignment horizontal="center"/>
    </xf>
    <xf numFmtId="0" fontId="3" fillId="2" borderId="3" xfId="0" applyFont="1" applyFill="1" applyBorder="1" applyAlignment="1">
      <alignment horizontal="center"/>
    </xf>
    <xf numFmtId="165" fontId="5" fillId="0" borderId="0" xfId="1" applyNumberFormat="1" applyFont="1" applyAlignment="1">
      <alignment horizontal="center" vertical="center"/>
    </xf>
    <xf numFmtId="165" fontId="5" fillId="0" borderId="7" xfId="1" applyNumberFormat="1" applyFont="1" applyBorder="1" applyAlignment="1">
      <alignment horizontal="center" vertical="center"/>
    </xf>
    <xf numFmtId="165" fontId="5" fillId="0" borderId="0" xfId="1" applyNumberFormat="1" applyFont="1" applyFill="1" applyAlignment="1">
      <alignment horizontal="center" vertical="center"/>
    </xf>
    <xf numFmtId="165" fontId="5" fillId="0" borderId="7" xfId="1" applyNumberFormat="1" applyFont="1" applyFill="1" applyBorder="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6" borderId="0" xfId="0" applyFont="1" applyFill="1" applyAlignment="1">
      <alignment horizont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165" fontId="6" fillId="4" borderId="10" xfId="1" applyNumberFormat="1" applyFont="1" applyFill="1" applyBorder="1" applyAlignment="1">
      <alignment horizontal="center"/>
    </xf>
    <xf numFmtId="165" fontId="3" fillId="4" borderId="0" xfId="1" applyNumberFormat="1" applyFont="1" applyFill="1" applyAlignment="1">
      <alignment horizontal="center" vertical="center" wrapText="1"/>
    </xf>
    <xf numFmtId="0" fontId="1" fillId="0" borderId="0" xfId="3"/>
  </cellXfs>
  <cellStyles count="4">
    <cellStyle name="Comma" xfId="1" builtinId="3"/>
    <cellStyle name="Normal" xfId="0" builtinId="0"/>
    <cellStyle name="Normal 2" xfId="3" xr:uid="{F3C18CE0-18E7-A140-BC45-D58D48EC412D}"/>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  CarMax - Average Retail Sales Price</a:t>
            </a:r>
          </a:p>
        </c:rich>
      </c:tx>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'Operating Summary &amp; Stats'!$A$47</c:f>
              <c:strCache>
                <c:ptCount val="1"/>
                <c:pt idx="0">
                  <c:v>  Used vehicles</c:v>
                </c:pt>
              </c:strCache>
            </c:strRef>
          </c:tx>
          <c:spPr>
            <a:ln w="28575" cap="rnd">
              <a:solidFill>
                <a:schemeClr val="accent1"/>
              </a:solidFill>
              <a:round/>
            </a:ln>
            <a:effectLst/>
          </c:spPr>
          <c:marker>
            <c:symbol val="none"/>
          </c:marker>
          <c:cat>
            <c:numRef>
              <c:f>('Operating Summary &amp; Stats'!$B$4,'Operating Summary &amp; Stats'!$D$4:$T$4)</c:f>
              <c:numCache>
                <c:formatCode>General</c:formatCode>
                <c:ptCount val="18"/>
                <c:pt idx="0" formatCode="m/d/yy">
                  <c:v>44804</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numCache>
            </c:numRef>
          </c:cat>
          <c:val>
            <c:numRef>
              <c:f>('Operating Summary &amp; Stats'!$B$47,'Operating Summary &amp; Stats'!$D$47:$T$47)</c:f>
              <c:numCache>
                <c:formatCode>_(* #,##0_);_(* \(#,##0\);_(* "-"??_);_(@_)</c:formatCode>
                <c:ptCount val="18"/>
                <c:pt idx="0">
                  <c:v>28755</c:v>
                </c:pt>
                <c:pt idx="1">
                  <c:v>26207</c:v>
                </c:pt>
                <c:pt idx="2">
                  <c:v>20690</c:v>
                </c:pt>
                <c:pt idx="3">
                  <c:v>20418</c:v>
                </c:pt>
                <c:pt idx="4">
                  <c:v>20077</c:v>
                </c:pt>
                <c:pt idx="5">
                  <c:v>19757</c:v>
                </c:pt>
                <c:pt idx="6">
                  <c:v>19586</c:v>
                </c:pt>
                <c:pt idx="7">
                  <c:v>19917</c:v>
                </c:pt>
                <c:pt idx="8">
                  <c:v>19897</c:v>
                </c:pt>
                <c:pt idx="9">
                  <c:v>19408</c:v>
                </c:pt>
                <c:pt idx="10">
                  <c:v>19351</c:v>
                </c:pt>
                <c:pt idx="11">
                  <c:v>18995</c:v>
                </c:pt>
                <c:pt idx="12">
                  <c:v>18019</c:v>
                </c:pt>
                <c:pt idx="13">
                  <c:v>17152</c:v>
                </c:pt>
                <c:pt idx="14">
                  <c:v>16291</c:v>
                </c:pt>
                <c:pt idx="15">
                  <c:v>17298</c:v>
                </c:pt>
                <c:pt idx="16">
                  <c:v>17249</c:v>
                </c:pt>
                <c:pt idx="17">
                  <c:v>16298</c:v>
                </c:pt>
              </c:numCache>
            </c:numRef>
          </c:val>
          <c:smooth val="0"/>
          <c:extLst>
            <c:ext xmlns:c16="http://schemas.microsoft.com/office/drawing/2014/chart" uri="{C3380CC4-5D6E-409C-BE32-E72D297353CC}">
              <c16:uniqueId val="{00000000-5E94-0A48-81E4-FBFA2169218A}"/>
            </c:ext>
          </c:extLst>
        </c:ser>
        <c:dLbls>
          <c:showLegendKey val="0"/>
          <c:showVal val="0"/>
          <c:showCatName val="0"/>
          <c:showSerName val="0"/>
          <c:showPercent val="0"/>
          <c:showBubbleSize val="0"/>
        </c:dLbls>
        <c:smooth val="0"/>
        <c:axId val="712307488"/>
        <c:axId val="712309136"/>
      </c:lineChart>
      <c:catAx>
        <c:axId val="712307488"/>
        <c:scaling>
          <c:orientation val="maxMin"/>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712309136"/>
        <c:crosses val="autoZero"/>
        <c:auto val="1"/>
        <c:lblAlgn val="ctr"/>
        <c:lblOffset val="100"/>
        <c:noMultiLvlLbl val="0"/>
      </c:catAx>
      <c:valAx>
        <c:axId val="712309136"/>
        <c:scaling>
          <c:orientation val="minMax"/>
          <c:min val="12000"/>
        </c:scaling>
        <c:delete val="0"/>
        <c:axPos val="r"/>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712307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12700</xdr:colOff>
      <xdr:row>51</xdr:row>
      <xdr:rowOff>12700</xdr:rowOff>
    </xdr:to>
    <xdr:sp macro="" textlink="">
      <xdr:nvSpPr>
        <xdr:cNvPr id="2" name="TextBox 1">
          <a:extLst>
            <a:ext uri="{FF2B5EF4-FFF2-40B4-BE49-F238E27FC236}">
              <a16:creationId xmlns:a16="http://schemas.microsoft.com/office/drawing/2014/main" id="{8E97B861-752C-6245-B298-1DF64E5643A8}"/>
            </a:ext>
          </a:extLst>
        </xdr:cNvPr>
        <xdr:cNvSpPr txBox="1"/>
      </xdr:nvSpPr>
      <xdr:spPr>
        <a:xfrm>
          <a:off x="0" y="0"/>
          <a:ext cx="14046200" cy="1037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1" u="sng">
              <a:solidFill>
                <a:schemeClr val="dk1"/>
              </a:solidFill>
              <a:effectLst/>
              <a:latin typeface="+mn-lt"/>
              <a:ea typeface="+mn-ea"/>
              <a:cs typeface="+mn-cs"/>
            </a:rPr>
            <a:t>CarMax</a:t>
          </a:r>
        </a:p>
        <a:p>
          <a:endParaRPr lang="en-US" sz="1800" b="1" u="sng">
            <a:solidFill>
              <a:schemeClr val="dk1"/>
            </a:solidFill>
            <a:effectLst/>
            <a:latin typeface="+mn-lt"/>
            <a:ea typeface="+mn-ea"/>
            <a:cs typeface="+mn-cs"/>
          </a:endParaRPr>
        </a:p>
        <a:p>
          <a:r>
            <a:rPr lang="en-US" sz="1800" b="1" u="none">
              <a:solidFill>
                <a:schemeClr val="dk1"/>
              </a:solidFill>
              <a:effectLst/>
              <a:latin typeface="+mn-lt"/>
              <a:ea typeface="+mn-ea"/>
              <a:cs typeface="+mn-cs"/>
            </a:rPr>
            <a:t>October</a:t>
          </a:r>
          <a:r>
            <a:rPr lang="en-US" sz="1800" b="1" u="none" baseline="0">
              <a:solidFill>
                <a:schemeClr val="dk1"/>
              </a:solidFill>
              <a:effectLst/>
              <a:latin typeface="+mn-lt"/>
              <a:ea typeface="+mn-ea"/>
              <a:cs typeface="+mn-cs"/>
            </a:rPr>
            <a:t> 2022</a:t>
          </a:r>
        </a:p>
        <a:p>
          <a:endParaRPr lang="en-US" sz="1800" b="1" u="none" baseline="0">
            <a:solidFill>
              <a:schemeClr val="dk1"/>
            </a:solidFill>
            <a:effectLst/>
            <a:latin typeface="+mn-lt"/>
            <a:ea typeface="+mn-ea"/>
            <a:cs typeface="+mn-cs"/>
          </a:endParaRPr>
        </a:p>
        <a:p>
          <a:r>
            <a:rPr lang="en-US" sz="1600" b="1" u="none" baseline="0">
              <a:solidFill>
                <a:schemeClr val="dk1"/>
              </a:solidFill>
              <a:effectLst/>
              <a:latin typeface="+mn-lt"/>
              <a:ea typeface="+mn-ea"/>
              <a:cs typeface="+mn-cs"/>
            </a:rPr>
            <a:t>TERMS OF USE</a:t>
          </a:r>
          <a:endParaRPr lang="en-US" sz="1600" b="1" u="none">
            <a:solidFill>
              <a:schemeClr val="dk1"/>
            </a:solidFill>
            <a:effectLst/>
            <a:latin typeface="+mn-lt"/>
            <a:ea typeface="+mn-ea"/>
            <a:cs typeface="+mn-cs"/>
          </a:endParaRPr>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 Copyright 2022 by The Rational Walk LLC. All rights reserved. </a:t>
          </a:r>
        </a:p>
        <a:p>
          <a:endParaRPr lang="en-US" sz="1400"/>
        </a:p>
        <a:p>
          <a:r>
            <a:rPr lang="en-US" sz="1400" b="1">
              <a:solidFill>
                <a:schemeClr val="dk1"/>
              </a:solidFill>
              <a:effectLst/>
              <a:latin typeface="+mn-lt"/>
              <a:ea typeface="+mn-ea"/>
              <a:cs typeface="+mn-cs"/>
            </a:rPr>
            <a:t>This data contained in this spreadsheet is part of a series of business profiles published by The Rational Walk, LLC. </a:t>
          </a:r>
        </a:p>
        <a:p>
          <a:endParaRPr lang="en-US" sz="1400"/>
        </a:p>
        <a:p>
          <a:r>
            <a:rPr lang="en-US" sz="1400" b="1">
              <a:solidFill>
                <a:schemeClr val="dk1"/>
              </a:solidFill>
              <a:effectLst/>
              <a:latin typeface="+mn-lt"/>
              <a:ea typeface="+mn-ea"/>
              <a:cs typeface="+mn-cs"/>
            </a:rPr>
            <a:t>The purpose of a business profile is to provide readers with information regarding a company’s business model and financial results. Business profiles do not provide intrinsic value estimates regarding whether the securities related to the business are attractive investments. Reports are meant to provide background information for educational purposes. </a:t>
          </a:r>
        </a:p>
        <a:p>
          <a:endParaRPr lang="en-US" sz="1400"/>
        </a:p>
        <a:p>
          <a:r>
            <a:rPr lang="en-US" sz="1400">
              <a:solidFill>
                <a:schemeClr val="dk1"/>
              </a:solidFill>
              <a:effectLst/>
              <a:latin typeface="+mn-lt"/>
              <a:ea typeface="+mn-ea"/>
              <a:cs typeface="+mn-cs"/>
            </a:rPr>
            <a:t>The Rational Walk LLC is not a registered investment advisor. Please consult with your own investment advisor before buying or selling any securities discussed in this report. This report is not investment advice nor is it a recommendation to buy or sell securities. Past performance of securities discussed in this report is not a good indication of future performance.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All content is strictly protected by United States copyright laws. Unlawful reproduction is prohibited. This publication may not be photocopied, electronically redistributed, or quoted without written permission, expect for brief quotations in compliance with the fair use doctrine when accompanied by an acknowledgement of the original source.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information contained in this report is based on sources considered to be reliable, but no guarantees are made regarding accuracy. No warranties are given as to the accuracy or completeness of this analysis. All links to internet sites listed in this publication were valid at the time of publication but may change or become invalid in the future. No assurance can be given regarding the reliability of data contained on these websites.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Note that data in this spreadsheet has been hand entered into Excel from SEC filings and other sources. I do this to gain</a:t>
          </a:r>
          <a:r>
            <a:rPr lang="en-US" sz="1400" baseline="0">
              <a:solidFill>
                <a:schemeClr val="dk1"/>
              </a:solidFill>
              <a:effectLst/>
              <a:latin typeface="+mn-lt"/>
              <a:ea typeface="+mn-ea"/>
              <a:cs typeface="+mn-cs"/>
            </a:rPr>
            <a:t> a better understanding of the company, but hand entering data comes with the risk of error. Although I endeavor to check the data multiple times to increase accuracy, no assurances can be provided that the spreadsheet is free from error.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Opinion and conclusions contained within this report are effective at the date of the report and future circumstances could cause the publisher of the report to arrive at different conclusions. No duty whatsoever exists to provide updates to readers of this report at a later date if future developments change the publisher’s opinions or conclusions. </a:t>
          </a:r>
        </a:p>
        <a:p>
          <a:endParaRPr lang="en-US" sz="1400"/>
        </a:p>
        <a:p>
          <a:r>
            <a:rPr lang="en-US" sz="1400">
              <a:solidFill>
                <a:schemeClr val="dk1"/>
              </a:solidFill>
              <a:effectLst/>
              <a:latin typeface="+mn-lt"/>
              <a:ea typeface="+mn-ea"/>
              <a:cs typeface="+mn-cs"/>
            </a:rPr>
            <a:t>At the date of this report, individuals associated with The Rational Walk LLC does not own shares of CarMax but</a:t>
          </a:r>
          <a:r>
            <a:rPr lang="en-US" sz="1400" baseline="0">
              <a:solidFill>
                <a:schemeClr val="dk1"/>
              </a:solidFill>
              <a:effectLst/>
              <a:latin typeface="+mn-lt"/>
              <a:ea typeface="+mn-ea"/>
              <a:cs typeface="+mn-cs"/>
            </a:rPr>
            <a:t> m</a:t>
          </a:r>
          <a:r>
            <a:rPr lang="en-US" sz="1400">
              <a:solidFill>
                <a:schemeClr val="dk1"/>
              </a:solidFill>
              <a:effectLst/>
              <a:latin typeface="+mn-lt"/>
              <a:ea typeface="+mn-ea"/>
              <a:cs typeface="+mn-cs"/>
            </a:rPr>
            <a:t>ay buy or sell shares at any time, in any quantity, and for any reason without any disclosure to readers of this report. </a:t>
          </a:r>
          <a:endParaRPr lang="en-US" sz="1400"/>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The Rational Walk </a:t>
          </a:r>
          <a:r>
            <a:rPr lang="en-US" sz="1400">
              <a:solidFill>
                <a:schemeClr val="dk1"/>
              </a:solidFill>
              <a:effectLst/>
              <a:latin typeface="+mn-lt"/>
              <a:ea typeface="+mn-ea"/>
              <a:cs typeface="+mn-cs"/>
            </a:rPr>
            <a:t>was founded in 2009. Over a thousand articles have been published over the past thirteen years primarily on topics related to investing and personal finance. In addition, over one hundred books have been reviewed over the years. The Rational Walk’s extensive coverage of Berkshire Hathaway has been mentioned in several news articles. The Rational Walk website and full archive may be accessed at rationalwalk.com. </a:t>
          </a:r>
          <a:endParaRPr lang="en-US" sz="1400"/>
        </a:p>
        <a:p>
          <a:endParaRPr lang="en-US" sz="1400"/>
        </a:p>
        <a:p>
          <a:r>
            <a:rPr lang="en-US" sz="1400" b="1">
              <a:solidFill>
                <a:schemeClr val="dk1"/>
              </a:solidFill>
              <a:effectLst/>
              <a:latin typeface="+mn-lt"/>
              <a:ea typeface="+mn-ea"/>
              <a:cs typeface="+mn-cs"/>
            </a:rPr>
            <a:t>Rational Reflections </a:t>
          </a:r>
          <a:r>
            <a:rPr lang="en-US" sz="1400">
              <a:solidFill>
                <a:schemeClr val="dk1"/>
              </a:solidFill>
              <a:effectLst/>
              <a:latin typeface="+mn-lt"/>
              <a:ea typeface="+mn-ea"/>
              <a:cs typeface="+mn-cs"/>
            </a:rPr>
            <a:t>is a newsletter published by The Rational Walk LLC. The Weekly Digest contains original content and curated links to articles, podcasts, videos, and other content with a high signal-to-noise ratio. Weekly Digest is free. In addition, Rational Reflections publishes profiles of businesses which are distributed to paying subscribers. While there is no set publication schedule for business profiles, subscribers should expect to receive at least twelve profiles per year. </a:t>
          </a:r>
        </a:p>
        <a:p>
          <a:endParaRPr lang="en-US" sz="1400"/>
        </a:p>
        <a:p>
          <a:r>
            <a:rPr lang="en-US" sz="1400" b="1">
              <a:solidFill>
                <a:schemeClr val="dk1"/>
              </a:solidFill>
              <a:effectLst/>
              <a:latin typeface="+mn-lt"/>
              <a:ea typeface="+mn-ea"/>
              <a:cs typeface="+mn-cs"/>
            </a:rPr>
            <a:t>The subscription price for Rational Reflections is $10 per month or $120 per year. </a:t>
          </a:r>
          <a:r>
            <a:rPr lang="en-US" sz="1400">
              <a:solidFill>
                <a:schemeClr val="dk1"/>
              </a:solidFill>
              <a:effectLst/>
              <a:latin typeface="+mn-lt"/>
              <a:ea typeface="+mn-ea"/>
              <a:cs typeface="+mn-cs"/>
            </a:rPr>
            <a:t>Subscriptions are available for purchase at rationalreflections.substack.com/subscribe. Subscriptions are meant to be accessed by a single individual. Please do not redistribute this report or other subscriber-only materials to non-subscribers. </a:t>
          </a:r>
          <a:endParaRPr lang="en-US" sz="1400"/>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Please direct any inquiries regarding this publication to administrator@rationalwalk.com. </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59</xdr:row>
      <xdr:rowOff>228600</xdr:rowOff>
    </xdr:from>
    <xdr:to>
      <xdr:col>11</xdr:col>
      <xdr:colOff>0</xdr:colOff>
      <xdr:row>88</xdr:row>
      <xdr:rowOff>0</xdr:rowOff>
    </xdr:to>
    <xdr:graphicFrame macro="">
      <xdr:nvGraphicFramePr>
        <xdr:cNvPr id="3" name="Chart 2">
          <a:extLst>
            <a:ext uri="{FF2B5EF4-FFF2-40B4-BE49-F238E27FC236}">
              <a16:creationId xmlns:a16="http://schemas.microsoft.com/office/drawing/2014/main" id="{15C1B42A-11BD-A7A9-9EAB-24C7E6A454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54C7-13AA-E946-BC1C-A1A26FC36095}">
  <dimension ref="A1"/>
  <sheetViews>
    <sheetView tabSelected="1" workbookViewId="0">
      <selection activeCell="H56" sqref="H56"/>
    </sheetView>
  </sheetViews>
  <sheetFormatPr baseColWidth="10" defaultRowHeight="16" x14ac:dyDescent="0.2"/>
  <cols>
    <col min="1" max="16384" width="10.83203125" style="113"/>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8"/>
  <sheetViews>
    <sheetView zoomScaleNormal="100" workbookViewId="0">
      <pane ySplit="3" topLeftCell="A4" activePane="bottomLeft" state="frozen"/>
      <selection pane="bottomLeft"/>
    </sheetView>
  </sheetViews>
  <sheetFormatPr baseColWidth="10" defaultColWidth="9.1640625" defaultRowHeight="19" x14ac:dyDescent="0.25"/>
  <cols>
    <col min="1" max="1" width="61.33203125" style="2" bestFit="1" customWidth="1"/>
    <col min="2" max="2" width="13.5" style="2" bestFit="1" customWidth="1"/>
    <col min="3" max="8" width="13.1640625" style="2" customWidth="1"/>
    <col min="9" max="10" width="13.1640625" style="2" bestFit="1" customWidth="1"/>
    <col min="11" max="11" width="13.1640625" style="14" bestFit="1" customWidth="1"/>
    <col min="12" max="19" width="12" style="2" bestFit="1" customWidth="1"/>
    <col min="20" max="16384" width="9.1640625" style="2"/>
  </cols>
  <sheetData>
    <row r="1" spans="1:20" ht="24" x14ac:dyDescent="0.3">
      <c r="A1" s="96" t="s">
        <v>22</v>
      </c>
      <c r="B1" s="4"/>
      <c r="C1" s="98" t="s">
        <v>17</v>
      </c>
      <c r="D1" s="98"/>
      <c r="E1" s="98"/>
      <c r="F1" s="98"/>
      <c r="G1" s="98"/>
      <c r="H1" s="98"/>
      <c r="I1" s="98"/>
      <c r="J1" s="98"/>
      <c r="K1" s="98"/>
      <c r="L1" s="98"/>
      <c r="M1" s="98"/>
      <c r="N1" s="98"/>
      <c r="O1" s="98"/>
      <c r="P1" s="98"/>
      <c r="Q1" s="98"/>
      <c r="R1" s="98"/>
      <c r="S1" s="98"/>
    </row>
    <row r="2" spans="1:20" x14ac:dyDescent="0.25">
      <c r="A2" s="94"/>
      <c r="B2" s="5" t="s">
        <v>234</v>
      </c>
      <c r="C2" s="6">
        <v>2022</v>
      </c>
      <c r="D2" s="6">
        <v>2021</v>
      </c>
      <c r="E2" s="6">
        <v>2020</v>
      </c>
      <c r="F2" s="6">
        <v>2019</v>
      </c>
      <c r="G2" s="6">
        <v>2018</v>
      </c>
      <c r="H2" s="6">
        <v>2017</v>
      </c>
      <c r="I2" s="6">
        <v>2016</v>
      </c>
      <c r="J2" s="6">
        <v>2015</v>
      </c>
      <c r="K2" s="7">
        <v>2014</v>
      </c>
      <c r="L2" s="6">
        <v>2013</v>
      </c>
      <c r="M2" s="6">
        <v>2012</v>
      </c>
      <c r="N2" s="6">
        <v>2011</v>
      </c>
      <c r="O2" s="6">
        <v>2010</v>
      </c>
      <c r="P2" s="6">
        <v>2009</v>
      </c>
      <c r="Q2" s="6">
        <v>2008</v>
      </c>
      <c r="R2" s="6">
        <v>2007</v>
      </c>
      <c r="S2" s="6">
        <v>2006</v>
      </c>
    </row>
    <row r="3" spans="1:20" s="12" customFormat="1" x14ac:dyDescent="0.25">
      <c r="A3" s="83" t="s">
        <v>4</v>
      </c>
      <c r="B3" s="8">
        <v>44804</v>
      </c>
      <c r="C3" s="9">
        <v>44620</v>
      </c>
      <c r="D3" s="9">
        <v>44255</v>
      </c>
      <c r="E3" s="9">
        <v>43890</v>
      </c>
      <c r="F3" s="9">
        <v>43524</v>
      </c>
      <c r="G3" s="9">
        <v>43159</v>
      </c>
      <c r="H3" s="9">
        <v>42794</v>
      </c>
      <c r="I3" s="9">
        <v>42429</v>
      </c>
      <c r="J3" s="9">
        <v>42063</v>
      </c>
      <c r="K3" s="9">
        <v>41698</v>
      </c>
      <c r="L3" s="9">
        <v>41333</v>
      </c>
      <c r="M3" s="9">
        <v>40968</v>
      </c>
      <c r="N3" s="9">
        <v>40602</v>
      </c>
      <c r="O3" s="10">
        <v>40237</v>
      </c>
      <c r="P3" s="9">
        <v>39872</v>
      </c>
      <c r="Q3" s="9">
        <v>39507</v>
      </c>
      <c r="R3" s="9">
        <v>39141</v>
      </c>
      <c r="S3" s="9">
        <v>38776</v>
      </c>
      <c r="T3" s="11"/>
    </row>
    <row r="4" spans="1:20" x14ac:dyDescent="0.25">
      <c r="A4" s="12" t="s">
        <v>0</v>
      </c>
      <c r="B4" s="13"/>
      <c r="C4" s="13"/>
      <c r="D4" s="13"/>
      <c r="E4" s="13"/>
      <c r="F4" s="13"/>
      <c r="G4" s="13"/>
      <c r="H4" s="13"/>
      <c r="I4" s="13"/>
      <c r="J4" s="13"/>
      <c r="K4" s="13"/>
      <c r="L4" s="13"/>
      <c r="M4" s="13"/>
      <c r="N4" s="13"/>
      <c r="O4" s="14"/>
      <c r="P4" s="15"/>
      <c r="Q4" s="15"/>
      <c r="R4" s="15"/>
    </row>
    <row r="5" spans="1:20" x14ac:dyDescent="0.25">
      <c r="A5" s="2" t="s">
        <v>1</v>
      </c>
      <c r="B5" s="15"/>
      <c r="C5" s="15"/>
      <c r="D5" s="15"/>
      <c r="E5" s="15"/>
      <c r="F5" s="15"/>
      <c r="G5" s="15"/>
      <c r="H5" s="15"/>
      <c r="I5" s="15"/>
      <c r="J5" s="15"/>
      <c r="L5" s="15"/>
      <c r="M5" s="15"/>
      <c r="N5" s="15"/>
      <c r="O5" s="15"/>
      <c r="P5" s="15"/>
      <c r="Q5" s="15"/>
      <c r="R5" s="15"/>
    </row>
    <row r="6" spans="1:20" x14ac:dyDescent="0.25">
      <c r="A6" s="2" t="s">
        <v>5</v>
      </c>
      <c r="B6" s="15">
        <v>56772</v>
      </c>
      <c r="C6" s="15">
        <v>102716</v>
      </c>
      <c r="D6" s="15">
        <v>132319</v>
      </c>
      <c r="E6" s="15">
        <v>58211</v>
      </c>
      <c r="F6" s="15">
        <v>46938</v>
      </c>
      <c r="G6" s="15">
        <v>44525</v>
      </c>
      <c r="H6" s="15">
        <v>38416</v>
      </c>
      <c r="I6" s="15">
        <v>37394</v>
      </c>
      <c r="J6" s="15">
        <v>27606</v>
      </c>
      <c r="K6" s="14">
        <v>627901</v>
      </c>
      <c r="L6" s="15">
        <v>449364</v>
      </c>
      <c r="M6" s="15">
        <v>442658</v>
      </c>
      <c r="N6" s="15">
        <v>41121</v>
      </c>
      <c r="O6" s="15">
        <v>18278</v>
      </c>
      <c r="P6" s="15">
        <v>140597</v>
      </c>
      <c r="Q6" s="15">
        <v>12965</v>
      </c>
      <c r="R6" s="15">
        <v>19455</v>
      </c>
      <c r="S6" s="15">
        <v>21759</v>
      </c>
    </row>
    <row r="7" spans="1:20" x14ac:dyDescent="0.25">
      <c r="A7" s="2" t="s">
        <v>23</v>
      </c>
      <c r="B7" s="15">
        <v>533253</v>
      </c>
      <c r="C7" s="15">
        <v>548099</v>
      </c>
      <c r="D7" s="15">
        <v>496415</v>
      </c>
      <c r="E7" s="15">
        <v>481043</v>
      </c>
      <c r="F7" s="15">
        <v>440669</v>
      </c>
      <c r="G7" s="15">
        <v>399442</v>
      </c>
      <c r="H7" s="15">
        <v>380353</v>
      </c>
      <c r="I7" s="15">
        <v>343829</v>
      </c>
      <c r="J7" s="15">
        <v>294122</v>
      </c>
      <c r="K7" s="14">
        <v>259299</v>
      </c>
      <c r="L7" s="15">
        <v>224287</v>
      </c>
      <c r="M7" s="15">
        <v>204314</v>
      </c>
      <c r="N7" s="15">
        <v>161052</v>
      </c>
      <c r="O7" s="15">
        <v>0</v>
      </c>
      <c r="P7" s="15">
        <v>0</v>
      </c>
      <c r="Q7" s="15">
        <v>0</v>
      </c>
      <c r="R7" s="15">
        <v>0</v>
      </c>
      <c r="S7" s="15">
        <v>0</v>
      </c>
    </row>
    <row r="8" spans="1:20" x14ac:dyDescent="0.25">
      <c r="A8" s="2" t="s">
        <v>24</v>
      </c>
      <c r="B8" s="15">
        <v>402452</v>
      </c>
      <c r="C8" s="15">
        <v>560984</v>
      </c>
      <c r="D8" s="15">
        <v>239070</v>
      </c>
      <c r="E8" s="15">
        <v>191090</v>
      </c>
      <c r="F8" s="15">
        <v>139850</v>
      </c>
      <c r="G8" s="15">
        <v>133321</v>
      </c>
      <c r="H8" s="15">
        <v>152388</v>
      </c>
      <c r="I8" s="15">
        <v>132171</v>
      </c>
      <c r="J8" s="15">
        <v>137690</v>
      </c>
      <c r="K8" s="14">
        <v>79923</v>
      </c>
      <c r="L8" s="15">
        <v>91961</v>
      </c>
      <c r="M8" s="15">
        <v>86434</v>
      </c>
      <c r="N8" s="15">
        <v>119597</v>
      </c>
      <c r="O8" s="15">
        <v>99434</v>
      </c>
      <c r="P8" s="15">
        <v>75876</v>
      </c>
      <c r="Q8" s="15">
        <v>73228</v>
      </c>
      <c r="R8" s="15">
        <v>71413</v>
      </c>
      <c r="S8" s="15">
        <v>76621</v>
      </c>
    </row>
    <row r="9" spans="1:20" x14ac:dyDescent="0.25">
      <c r="A9" s="2" t="s">
        <v>49</v>
      </c>
      <c r="B9" s="15">
        <v>0</v>
      </c>
      <c r="C9" s="15">
        <v>0</v>
      </c>
      <c r="D9" s="15">
        <v>0</v>
      </c>
      <c r="E9" s="15">
        <v>0</v>
      </c>
      <c r="F9" s="15">
        <v>0</v>
      </c>
      <c r="G9" s="15">
        <v>0</v>
      </c>
      <c r="H9" s="15">
        <v>0</v>
      </c>
      <c r="I9" s="15">
        <v>0</v>
      </c>
      <c r="J9" s="15">
        <v>0</v>
      </c>
      <c r="K9" s="15">
        <v>0</v>
      </c>
      <c r="L9" s="15">
        <v>0</v>
      </c>
      <c r="M9" s="15">
        <v>0</v>
      </c>
      <c r="N9" s="15">
        <v>0</v>
      </c>
      <c r="O9" s="15">
        <v>30578</v>
      </c>
      <c r="P9" s="15">
        <v>9748</v>
      </c>
      <c r="Q9" s="15">
        <v>4984</v>
      </c>
      <c r="R9" s="15">
        <v>6162</v>
      </c>
      <c r="S9" s="15">
        <v>4139</v>
      </c>
    </row>
    <row r="10" spans="1:20" x14ac:dyDescent="0.25">
      <c r="A10" s="2" t="s">
        <v>50</v>
      </c>
      <c r="B10" s="15">
        <v>0</v>
      </c>
      <c r="C10" s="15">
        <v>0</v>
      </c>
      <c r="D10" s="15">
        <v>0</v>
      </c>
      <c r="E10" s="15">
        <v>0</v>
      </c>
      <c r="F10" s="15">
        <v>0</v>
      </c>
      <c r="G10" s="15">
        <v>0</v>
      </c>
      <c r="H10" s="15">
        <v>0</v>
      </c>
      <c r="I10" s="15">
        <v>0</v>
      </c>
      <c r="J10" s="15">
        <v>0</v>
      </c>
      <c r="K10" s="15">
        <v>0</v>
      </c>
      <c r="L10" s="15">
        <v>0</v>
      </c>
      <c r="M10" s="15">
        <v>0</v>
      </c>
      <c r="N10" s="15">
        <v>0</v>
      </c>
      <c r="O10" s="15">
        <v>552377</v>
      </c>
      <c r="P10" s="15">
        <v>348262</v>
      </c>
      <c r="Q10" s="15">
        <v>270761</v>
      </c>
      <c r="R10" s="15">
        <v>202302</v>
      </c>
      <c r="S10" s="15">
        <v>158308</v>
      </c>
    </row>
    <row r="11" spans="1:20" x14ac:dyDescent="0.25">
      <c r="A11" s="2" t="s">
        <v>25</v>
      </c>
      <c r="B11" s="15">
        <v>4671685</v>
      </c>
      <c r="C11" s="15">
        <v>5124569</v>
      </c>
      <c r="D11" s="15">
        <v>3157159</v>
      </c>
      <c r="E11" s="15">
        <v>2846416</v>
      </c>
      <c r="F11" s="15">
        <v>2519455</v>
      </c>
      <c r="G11" s="15">
        <v>2390694</v>
      </c>
      <c r="H11" s="15">
        <v>2260563</v>
      </c>
      <c r="I11" s="15">
        <v>1932029</v>
      </c>
      <c r="J11" s="15">
        <v>2086874</v>
      </c>
      <c r="K11" s="14">
        <v>1641424</v>
      </c>
      <c r="L11" s="15">
        <v>1517813</v>
      </c>
      <c r="M11" s="15">
        <v>1092592</v>
      </c>
      <c r="N11" s="15">
        <v>1049477</v>
      </c>
      <c r="O11" s="15">
        <v>843133</v>
      </c>
      <c r="P11" s="15">
        <v>703157</v>
      </c>
      <c r="Q11" s="15">
        <v>975777</v>
      </c>
      <c r="R11" s="15">
        <v>836116</v>
      </c>
      <c r="S11" s="15">
        <v>669700</v>
      </c>
    </row>
    <row r="12" spans="1:20" x14ac:dyDescent="0.25">
      <c r="A12" s="2" t="s">
        <v>47</v>
      </c>
      <c r="B12" s="15">
        <v>0</v>
      </c>
      <c r="C12" s="15">
        <v>0</v>
      </c>
      <c r="D12" s="15">
        <v>0</v>
      </c>
      <c r="E12" s="15">
        <v>0</v>
      </c>
      <c r="F12" s="15">
        <v>0</v>
      </c>
      <c r="G12" s="15">
        <v>0</v>
      </c>
      <c r="H12" s="15">
        <v>0</v>
      </c>
      <c r="I12" s="15">
        <v>0</v>
      </c>
      <c r="J12" s="15">
        <v>0</v>
      </c>
      <c r="K12" s="14">
        <v>7866</v>
      </c>
      <c r="L12" s="15">
        <v>5193</v>
      </c>
      <c r="M12" s="15">
        <v>9938</v>
      </c>
      <c r="N12" s="15">
        <v>5191</v>
      </c>
      <c r="O12" s="15">
        <v>5595</v>
      </c>
      <c r="P12" s="15">
        <v>0</v>
      </c>
      <c r="Q12" s="15">
        <v>0</v>
      </c>
      <c r="R12" s="15">
        <v>0</v>
      </c>
      <c r="S12" s="15">
        <v>0</v>
      </c>
    </row>
    <row r="13" spans="1:20" x14ac:dyDescent="0.25">
      <c r="A13" s="2" t="s">
        <v>26</v>
      </c>
      <c r="B13" s="15">
        <v>208297</v>
      </c>
      <c r="C13" s="15">
        <v>212922</v>
      </c>
      <c r="D13" s="15">
        <v>91833</v>
      </c>
      <c r="E13" s="15">
        <v>86927</v>
      </c>
      <c r="F13" s="15">
        <v>67101</v>
      </c>
      <c r="G13" s="15">
        <v>93462</v>
      </c>
      <c r="H13" s="15">
        <v>41910</v>
      </c>
      <c r="I13" s="15">
        <v>26358</v>
      </c>
      <c r="J13" s="15">
        <v>44646</v>
      </c>
      <c r="K13" s="14">
        <v>26811</v>
      </c>
      <c r="L13" s="15">
        <v>21513</v>
      </c>
      <c r="M13" s="15">
        <v>17512</v>
      </c>
      <c r="N13" s="15">
        <v>33660</v>
      </c>
      <c r="O13" s="15">
        <v>7017</v>
      </c>
      <c r="P13" s="15">
        <v>10112</v>
      </c>
      <c r="Q13" s="15">
        <v>19210</v>
      </c>
      <c r="R13" s="15">
        <v>15068</v>
      </c>
      <c r="S13" s="15">
        <v>11211</v>
      </c>
    </row>
    <row r="14" spans="1:20" x14ac:dyDescent="0.25">
      <c r="A14" s="2" t="s">
        <v>14</v>
      </c>
      <c r="B14" s="16">
        <f t="shared" ref="B14:H14" si="0">SUM(B6:B13)</f>
        <v>5872459</v>
      </c>
      <c r="C14" s="16">
        <f t="shared" si="0"/>
        <v>6549290</v>
      </c>
      <c r="D14" s="16">
        <f t="shared" si="0"/>
        <v>4116796</v>
      </c>
      <c r="E14" s="16">
        <f t="shared" si="0"/>
        <v>3663687</v>
      </c>
      <c r="F14" s="16">
        <f t="shared" si="0"/>
        <v>3214013</v>
      </c>
      <c r="G14" s="16">
        <f t="shared" si="0"/>
        <v>3061444</v>
      </c>
      <c r="H14" s="16">
        <f t="shared" si="0"/>
        <v>2873630</v>
      </c>
      <c r="I14" s="16">
        <f t="shared" ref="I14:S14" si="1">SUM(I6:I13)</f>
        <v>2471781</v>
      </c>
      <c r="J14" s="16">
        <f t="shared" si="1"/>
        <v>2590938</v>
      </c>
      <c r="K14" s="16">
        <f t="shared" si="1"/>
        <v>2643224</v>
      </c>
      <c r="L14" s="16">
        <f t="shared" si="1"/>
        <v>2310131</v>
      </c>
      <c r="M14" s="16">
        <f t="shared" si="1"/>
        <v>1853448</v>
      </c>
      <c r="N14" s="16">
        <f t="shared" si="1"/>
        <v>1410098</v>
      </c>
      <c r="O14" s="16">
        <f t="shared" si="1"/>
        <v>1556412</v>
      </c>
      <c r="P14" s="16">
        <f t="shared" si="1"/>
        <v>1287752</v>
      </c>
      <c r="Q14" s="16">
        <f t="shared" si="1"/>
        <v>1356925</v>
      </c>
      <c r="R14" s="16">
        <f t="shared" si="1"/>
        <v>1150516</v>
      </c>
      <c r="S14" s="16">
        <f t="shared" si="1"/>
        <v>941738</v>
      </c>
    </row>
    <row r="15" spans="1:20" x14ac:dyDescent="0.25">
      <c r="A15" s="2" t="s">
        <v>27</v>
      </c>
      <c r="B15" s="15">
        <v>15961213</v>
      </c>
      <c r="C15" s="15">
        <v>15289701</v>
      </c>
      <c r="D15" s="15">
        <v>13489819</v>
      </c>
      <c r="E15" s="15">
        <v>13551711</v>
      </c>
      <c r="F15" s="15">
        <v>12428487</v>
      </c>
      <c r="G15" s="15">
        <v>11535704</v>
      </c>
      <c r="H15" s="15">
        <v>10596076</v>
      </c>
      <c r="I15" s="15">
        <v>9536892</v>
      </c>
      <c r="J15" s="15">
        <v>8435504</v>
      </c>
      <c r="K15" s="14">
        <v>7147848</v>
      </c>
      <c r="L15" s="15">
        <v>5895918</v>
      </c>
      <c r="M15" s="15">
        <v>4959847</v>
      </c>
      <c r="N15" s="15">
        <v>4320575</v>
      </c>
      <c r="O15" s="97" t="s">
        <v>51</v>
      </c>
      <c r="P15" s="97"/>
      <c r="Q15" s="97"/>
      <c r="R15" s="97"/>
      <c r="S15" s="97"/>
    </row>
    <row r="16" spans="1:20" x14ac:dyDescent="0.25">
      <c r="A16" s="2" t="s">
        <v>28</v>
      </c>
      <c r="B16" s="15">
        <v>3312605</v>
      </c>
      <c r="C16" s="15">
        <v>3209068</v>
      </c>
      <c r="D16" s="15">
        <v>3055563</v>
      </c>
      <c r="E16" s="15">
        <v>3069102</v>
      </c>
      <c r="F16" s="15">
        <v>2828058</v>
      </c>
      <c r="G16" s="15">
        <v>2667061</v>
      </c>
      <c r="H16" s="15">
        <v>2518393</v>
      </c>
      <c r="I16" s="15">
        <v>2161698</v>
      </c>
      <c r="J16" s="15">
        <v>1862538</v>
      </c>
      <c r="K16" s="14">
        <v>1652977</v>
      </c>
      <c r="L16" s="15">
        <v>1428970</v>
      </c>
      <c r="M16" s="15">
        <v>1278722</v>
      </c>
      <c r="N16" s="15">
        <v>1175317</v>
      </c>
      <c r="O16" s="15">
        <v>893453</v>
      </c>
      <c r="P16" s="15">
        <v>938259</v>
      </c>
      <c r="Q16" s="15">
        <v>862497</v>
      </c>
      <c r="R16" s="15">
        <v>651850</v>
      </c>
      <c r="S16" s="15">
        <v>499298</v>
      </c>
    </row>
    <row r="17" spans="1:19" x14ac:dyDescent="0.25">
      <c r="A17" s="2" t="s">
        <v>29</v>
      </c>
      <c r="B17" s="15">
        <v>93057</v>
      </c>
      <c r="C17" s="15">
        <v>120931</v>
      </c>
      <c r="D17" s="15">
        <v>164261</v>
      </c>
      <c r="E17" s="15">
        <v>89842</v>
      </c>
      <c r="F17" s="15">
        <v>61346</v>
      </c>
      <c r="G17" s="15">
        <v>63256</v>
      </c>
      <c r="H17" s="15">
        <v>150962</v>
      </c>
      <c r="I17" s="15">
        <v>161862</v>
      </c>
      <c r="J17" s="15">
        <v>175738</v>
      </c>
      <c r="K17" s="14">
        <v>152199</v>
      </c>
      <c r="L17" s="15">
        <v>145875</v>
      </c>
      <c r="M17" s="15">
        <v>133134</v>
      </c>
      <c r="N17" s="15">
        <v>123685</v>
      </c>
      <c r="O17" s="15">
        <v>57234</v>
      </c>
      <c r="P17" s="15">
        <v>103163</v>
      </c>
      <c r="Q17" s="15">
        <v>67066</v>
      </c>
      <c r="R17" s="15">
        <v>40174</v>
      </c>
      <c r="S17" s="15">
        <v>24576</v>
      </c>
    </row>
    <row r="18" spans="1:19" x14ac:dyDescent="0.25">
      <c r="A18" s="2" t="s">
        <v>159</v>
      </c>
      <c r="B18" s="15">
        <v>530285</v>
      </c>
      <c r="C18" s="15">
        <v>537357</v>
      </c>
      <c r="D18" s="15">
        <v>431652</v>
      </c>
      <c r="E18" s="15">
        <v>449094</v>
      </c>
      <c r="F18" s="15">
        <v>0</v>
      </c>
      <c r="G18" s="15">
        <v>0</v>
      </c>
      <c r="H18" s="15">
        <v>0</v>
      </c>
      <c r="I18" s="15">
        <v>0</v>
      </c>
      <c r="J18" s="15">
        <v>0</v>
      </c>
      <c r="K18" s="15">
        <v>0</v>
      </c>
      <c r="L18" s="15">
        <v>0</v>
      </c>
      <c r="M18" s="15">
        <v>0</v>
      </c>
      <c r="N18" s="15">
        <v>0</v>
      </c>
      <c r="O18" s="15">
        <v>0</v>
      </c>
      <c r="P18" s="15">
        <v>0</v>
      </c>
      <c r="Q18" s="15">
        <v>0</v>
      </c>
      <c r="R18" s="15">
        <v>0</v>
      </c>
      <c r="S18" s="15">
        <v>0</v>
      </c>
    </row>
    <row r="19" spans="1:19" x14ac:dyDescent="0.25">
      <c r="A19" s="2" t="s">
        <v>162</v>
      </c>
      <c r="B19" s="15">
        <v>141258</v>
      </c>
      <c r="C19" s="15">
        <v>141258</v>
      </c>
      <c r="D19" s="15">
        <v>0</v>
      </c>
      <c r="E19" s="15">
        <v>0</v>
      </c>
      <c r="F19" s="15">
        <v>0</v>
      </c>
      <c r="G19" s="15">
        <v>0</v>
      </c>
      <c r="H19" s="15">
        <v>0</v>
      </c>
      <c r="I19" s="15">
        <v>0</v>
      </c>
      <c r="J19" s="15">
        <v>0</v>
      </c>
      <c r="K19" s="15">
        <v>0</v>
      </c>
      <c r="L19" s="15">
        <v>0</v>
      </c>
      <c r="M19" s="15">
        <v>0</v>
      </c>
      <c r="N19" s="15">
        <v>0</v>
      </c>
      <c r="O19" s="15">
        <v>0</v>
      </c>
      <c r="P19" s="15">
        <v>0</v>
      </c>
      <c r="Q19" s="15">
        <v>0</v>
      </c>
      <c r="R19" s="15">
        <v>0</v>
      </c>
      <c r="S19" s="15">
        <v>0</v>
      </c>
    </row>
    <row r="20" spans="1:19" x14ac:dyDescent="0.25">
      <c r="A20" s="2" t="s">
        <v>30</v>
      </c>
      <c r="B20" s="15">
        <v>559666</v>
      </c>
      <c r="C20" s="15">
        <v>490659</v>
      </c>
      <c r="D20" s="15">
        <v>283450</v>
      </c>
      <c r="E20" s="15">
        <v>258746</v>
      </c>
      <c r="F20" s="15">
        <v>185963</v>
      </c>
      <c r="G20" s="15">
        <v>158807</v>
      </c>
      <c r="H20" s="15">
        <v>140295</v>
      </c>
      <c r="I20" s="15">
        <v>149343</v>
      </c>
      <c r="J20" s="15">
        <v>133483</v>
      </c>
      <c r="K20" s="14">
        <v>110909</v>
      </c>
      <c r="L20" s="15">
        <v>107708</v>
      </c>
      <c r="M20" s="15">
        <v>106392</v>
      </c>
      <c r="N20" s="15">
        <v>95874</v>
      </c>
      <c r="O20" s="15">
        <v>49092</v>
      </c>
      <c r="P20" s="15">
        <v>50013</v>
      </c>
      <c r="Q20" s="15">
        <v>46673</v>
      </c>
      <c r="R20" s="15">
        <v>43033</v>
      </c>
      <c r="S20" s="15">
        <v>44000</v>
      </c>
    </row>
    <row r="21" spans="1:19" ht="20" thickBot="1" x14ac:dyDescent="0.3">
      <c r="A21" s="12" t="s">
        <v>6</v>
      </c>
      <c r="B21" s="17">
        <f t="shared" ref="B21:H21" si="2">SUM(B14:B20)</f>
        <v>26470543</v>
      </c>
      <c r="C21" s="17">
        <f t="shared" si="2"/>
        <v>26338264</v>
      </c>
      <c r="D21" s="17">
        <f t="shared" si="2"/>
        <v>21541541</v>
      </c>
      <c r="E21" s="17">
        <f t="shared" si="2"/>
        <v>21082182</v>
      </c>
      <c r="F21" s="17">
        <f t="shared" si="2"/>
        <v>18717867</v>
      </c>
      <c r="G21" s="17">
        <f t="shared" si="2"/>
        <v>17486272</v>
      </c>
      <c r="H21" s="17">
        <f t="shared" si="2"/>
        <v>16279356</v>
      </c>
      <c r="I21" s="17">
        <f t="shared" ref="I21:S21" si="3">SUM(I14:I20)</f>
        <v>14481576</v>
      </c>
      <c r="J21" s="17">
        <f t="shared" si="3"/>
        <v>13198201</v>
      </c>
      <c r="K21" s="17">
        <f t="shared" si="3"/>
        <v>11707157</v>
      </c>
      <c r="L21" s="17">
        <f t="shared" si="3"/>
        <v>9888602</v>
      </c>
      <c r="M21" s="17">
        <f t="shared" si="3"/>
        <v>8331543</v>
      </c>
      <c r="N21" s="17">
        <f t="shared" si="3"/>
        <v>7125549</v>
      </c>
      <c r="O21" s="17">
        <f t="shared" si="3"/>
        <v>2556191</v>
      </c>
      <c r="P21" s="17">
        <f t="shared" si="3"/>
        <v>2379187</v>
      </c>
      <c r="Q21" s="17">
        <f t="shared" si="3"/>
        <v>2333161</v>
      </c>
      <c r="R21" s="17">
        <f t="shared" si="3"/>
        <v>1885573</v>
      </c>
      <c r="S21" s="17">
        <f t="shared" si="3"/>
        <v>1509612</v>
      </c>
    </row>
    <row r="22" spans="1:19" ht="20" thickTop="1" x14ac:dyDescent="0.25">
      <c r="A22" s="12" t="s">
        <v>31</v>
      </c>
      <c r="B22" s="15"/>
      <c r="C22" s="15"/>
      <c r="D22" s="15"/>
      <c r="E22" s="15"/>
      <c r="F22" s="15"/>
      <c r="G22" s="15"/>
      <c r="H22" s="15"/>
      <c r="I22" s="15"/>
      <c r="J22" s="15"/>
      <c r="L22" s="15"/>
      <c r="M22" s="15"/>
      <c r="N22" s="15"/>
      <c r="O22" s="15"/>
      <c r="P22" s="15"/>
      <c r="Q22" s="15"/>
      <c r="R22" s="15"/>
      <c r="S22" s="15"/>
    </row>
    <row r="23" spans="1:19" x14ac:dyDescent="0.25">
      <c r="A23" s="2" t="s">
        <v>2</v>
      </c>
      <c r="B23" s="15"/>
      <c r="C23" s="15"/>
      <c r="D23" s="15"/>
      <c r="E23" s="15"/>
      <c r="F23" s="15"/>
      <c r="G23" s="15"/>
      <c r="H23" s="15"/>
      <c r="I23" s="15"/>
      <c r="J23" s="15"/>
      <c r="L23" s="15"/>
      <c r="M23" s="15"/>
      <c r="N23" s="15"/>
      <c r="O23" s="15"/>
      <c r="P23" s="15"/>
      <c r="Q23" s="15"/>
      <c r="R23" s="15"/>
      <c r="S23" s="15"/>
    </row>
    <row r="24" spans="1:19" x14ac:dyDescent="0.25">
      <c r="A24" s="2" t="s">
        <v>7</v>
      </c>
      <c r="B24" s="15">
        <v>928749</v>
      </c>
      <c r="C24" s="15">
        <v>937717</v>
      </c>
      <c r="D24" s="15">
        <v>799333</v>
      </c>
      <c r="E24" s="15">
        <v>737144</v>
      </c>
      <c r="F24" s="15">
        <v>593171</v>
      </c>
      <c r="G24" s="15">
        <v>529733</v>
      </c>
      <c r="H24" s="15">
        <v>494989</v>
      </c>
      <c r="I24" s="15">
        <v>441746</v>
      </c>
      <c r="J24" s="15">
        <v>454810</v>
      </c>
      <c r="K24" s="14">
        <v>427492</v>
      </c>
      <c r="L24" s="15">
        <v>336721</v>
      </c>
      <c r="M24" s="15">
        <v>324827</v>
      </c>
      <c r="N24" s="15">
        <v>269763</v>
      </c>
      <c r="O24" s="15">
        <v>253267</v>
      </c>
      <c r="P24" s="15">
        <v>237312</v>
      </c>
      <c r="Q24" s="15">
        <v>306013</v>
      </c>
      <c r="R24" s="15">
        <v>254895</v>
      </c>
      <c r="S24" s="15">
        <v>188614</v>
      </c>
    </row>
    <row r="25" spans="1:19" x14ac:dyDescent="0.25">
      <c r="A25" s="2" t="s">
        <v>32</v>
      </c>
      <c r="B25" s="15">
        <v>482361</v>
      </c>
      <c r="C25" s="15">
        <v>533271</v>
      </c>
      <c r="D25" s="15">
        <v>415465</v>
      </c>
      <c r="E25" s="15">
        <v>331738</v>
      </c>
      <c r="F25" s="15">
        <v>316215</v>
      </c>
      <c r="G25" s="15">
        <v>278771</v>
      </c>
      <c r="H25" s="15">
        <v>266128</v>
      </c>
      <c r="I25" s="15">
        <v>245909</v>
      </c>
      <c r="J25" s="15">
        <v>250307</v>
      </c>
      <c r="K25" s="14">
        <v>202588</v>
      </c>
      <c r="L25" s="15">
        <v>147821</v>
      </c>
      <c r="M25" s="15">
        <v>128973</v>
      </c>
      <c r="N25" s="15">
        <v>105998</v>
      </c>
      <c r="O25" s="15">
        <v>94557</v>
      </c>
      <c r="P25" s="15">
        <v>55793</v>
      </c>
      <c r="Q25" s="15">
        <v>58054</v>
      </c>
      <c r="R25" s="15">
        <v>68885</v>
      </c>
      <c r="S25" s="15">
        <v>66871</v>
      </c>
    </row>
    <row r="26" spans="1:19" x14ac:dyDescent="0.25">
      <c r="A26" s="2" t="s">
        <v>33</v>
      </c>
      <c r="B26" s="15">
        <v>0</v>
      </c>
      <c r="C26" s="15">
        <v>0</v>
      </c>
      <c r="D26" s="15">
        <v>218</v>
      </c>
      <c r="E26" s="15">
        <v>1389</v>
      </c>
      <c r="F26" s="15">
        <v>3784</v>
      </c>
      <c r="G26" s="15">
        <v>0</v>
      </c>
      <c r="H26" s="15">
        <v>1404</v>
      </c>
      <c r="I26" s="15">
        <v>2029</v>
      </c>
      <c r="J26" s="15">
        <v>1554</v>
      </c>
      <c r="K26" s="14">
        <v>2438</v>
      </c>
      <c r="L26" s="15">
        <v>222</v>
      </c>
      <c r="M26" s="15">
        <v>3125</v>
      </c>
      <c r="N26" s="15">
        <v>772</v>
      </c>
      <c r="O26" s="15">
        <v>6327</v>
      </c>
      <c r="P26" s="15">
        <v>26551</v>
      </c>
      <c r="Q26" s="15">
        <v>7569</v>
      </c>
      <c r="R26" s="15">
        <v>23377</v>
      </c>
      <c r="S26" s="15">
        <v>5598</v>
      </c>
    </row>
    <row r="27" spans="1:19" x14ac:dyDescent="0.25">
      <c r="A27" s="2" t="s">
        <v>47</v>
      </c>
      <c r="B27" s="15">
        <v>0</v>
      </c>
      <c r="C27" s="15">
        <v>0</v>
      </c>
      <c r="D27" s="15">
        <v>0</v>
      </c>
      <c r="E27" s="15">
        <v>0</v>
      </c>
      <c r="F27" s="15">
        <v>0</v>
      </c>
      <c r="G27" s="15">
        <v>0</v>
      </c>
      <c r="H27" s="15">
        <v>0</v>
      </c>
      <c r="I27" s="15">
        <v>0</v>
      </c>
      <c r="J27" s="15">
        <v>0</v>
      </c>
      <c r="K27" s="14">
        <v>0</v>
      </c>
      <c r="L27" s="15">
        <v>0</v>
      </c>
      <c r="M27" s="15">
        <v>0</v>
      </c>
      <c r="N27" s="15">
        <v>0</v>
      </c>
      <c r="O27" s="15">
        <v>0</v>
      </c>
      <c r="P27" s="15">
        <v>12129</v>
      </c>
      <c r="Q27" s="15">
        <v>17710</v>
      </c>
      <c r="R27" s="15">
        <v>13132</v>
      </c>
      <c r="S27" s="15">
        <v>23562</v>
      </c>
    </row>
    <row r="28" spans="1:19" x14ac:dyDescent="0.25">
      <c r="A28" s="2" t="s">
        <v>160</v>
      </c>
      <c r="B28" s="15">
        <v>48783</v>
      </c>
      <c r="C28" s="15">
        <v>44197</v>
      </c>
      <c r="D28" s="15">
        <v>30953</v>
      </c>
      <c r="E28" s="15">
        <v>30980</v>
      </c>
      <c r="F28" s="15">
        <v>0</v>
      </c>
      <c r="G28" s="15">
        <v>0</v>
      </c>
      <c r="H28" s="15">
        <v>0</v>
      </c>
      <c r="I28" s="15">
        <v>0</v>
      </c>
      <c r="J28" s="15">
        <v>0</v>
      </c>
      <c r="K28" s="15">
        <v>0</v>
      </c>
      <c r="L28" s="15">
        <v>0</v>
      </c>
      <c r="M28" s="15">
        <v>0</v>
      </c>
      <c r="N28" s="15">
        <v>0</v>
      </c>
      <c r="O28" s="15">
        <v>0</v>
      </c>
      <c r="P28" s="15">
        <v>0</v>
      </c>
      <c r="Q28" s="15">
        <v>0</v>
      </c>
      <c r="R28" s="15">
        <v>0</v>
      </c>
      <c r="S28" s="15">
        <v>0</v>
      </c>
    </row>
    <row r="29" spans="1:19" x14ac:dyDescent="0.25">
      <c r="A29" s="2" t="s">
        <v>34</v>
      </c>
      <c r="B29" s="15">
        <v>0</v>
      </c>
      <c r="C29" s="15">
        <v>0</v>
      </c>
      <c r="D29" s="15">
        <v>0</v>
      </c>
      <c r="E29" s="15">
        <v>40</v>
      </c>
      <c r="F29" s="15">
        <v>1129</v>
      </c>
      <c r="G29" s="15">
        <v>127</v>
      </c>
      <c r="H29" s="15">
        <v>62</v>
      </c>
      <c r="I29" s="15">
        <v>428</v>
      </c>
      <c r="J29" s="15">
        <v>785</v>
      </c>
      <c r="K29" s="14">
        <v>582</v>
      </c>
      <c r="L29" s="15">
        <v>355</v>
      </c>
      <c r="M29" s="15">
        <v>943</v>
      </c>
      <c r="N29" s="15">
        <v>1002</v>
      </c>
      <c r="O29" s="15">
        <v>883</v>
      </c>
      <c r="P29" s="15">
        <v>878</v>
      </c>
      <c r="Q29" s="15">
        <v>21017</v>
      </c>
      <c r="R29" s="15">
        <v>3290</v>
      </c>
      <c r="S29" s="15">
        <v>463</v>
      </c>
    </row>
    <row r="30" spans="1:19" x14ac:dyDescent="0.25">
      <c r="A30" s="2" t="s">
        <v>35</v>
      </c>
      <c r="B30" s="15">
        <v>112504</v>
      </c>
      <c r="C30" s="15">
        <v>11203</v>
      </c>
      <c r="D30" s="15">
        <v>9927</v>
      </c>
      <c r="E30" s="15">
        <v>9251</v>
      </c>
      <c r="F30" s="15">
        <v>0</v>
      </c>
      <c r="G30" s="15">
        <v>0</v>
      </c>
      <c r="H30" s="15">
        <v>0</v>
      </c>
      <c r="I30" s="15">
        <v>0</v>
      </c>
      <c r="J30" s="15">
        <v>10000</v>
      </c>
      <c r="K30" s="14">
        <v>0</v>
      </c>
      <c r="L30" s="15">
        <v>0</v>
      </c>
      <c r="M30" s="15">
        <v>0</v>
      </c>
      <c r="N30" s="15">
        <v>0</v>
      </c>
      <c r="O30" s="15">
        <v>122317</v>
      </c>
      <c r="P30" s="15">
        <v>158107</v>
      </c>
      <c r="Q30" s="15">
        <v>79661</v>
      </c>
      <c r="R30" s="15">
        <v>148443</v>
      </c>
      <c r="S30" s="15">
        <v>59762</v>
      </c>
    </row>
    <row r="31" spans="1:19" x14ac:dyDescent="0.25">
      <c r="A31" s="2" t="s">
        <v>36</v>
      </c>
      <c r="B31" s="15">
        <v>0</v>
      </c>
      <c r="C31" s="15">
        <v>0</v>
      </c>
      <c r="D31" s="15">
        <v>0</v>
      </c>
      <c r="E31" s="15">
        <v>0</v>
      </c>
      <c r="F31" s="15">
        <v>12166</v>
      </c>
      <c r="G31" s="15">
        <v>9994</v>
      </c>
      <c r="H31" s="15">
        <v>9491</v>
      </c>
      <c r="I31" s="15">
        <v>14331</v>
      </c>
      <c r="J31" s="15">
        <v>21554</v>
      </c>
      <c r="K31" s="14">
        <v>18459</v>
      </c>
      <c r="L31" s="15">
        <v>16139</v>
      </c>
      <c r="M31" s="15">
        <v>14108</v>
      </c>
      <c r="N31" s="15">
        <v>12617</v>
      </c>
      <c r="O31" s="15">
        <v>0</v>
      </c>
      <c r="P31" s="15">
        <v>0</v>
      </c>
      <c r="Q31" s="15">
        <v>0</v>
      </c>
      <c r="R31" s="15">
        <v>0</v>
      </c>
      <c r="S31" s="15">
        <v>0</v>
      </c>
    </row>
    <row r="32" spans="1:19" x14ac:dyDescent="0.25">
      <c r="A32" s="2" t="s">
        <v>37</v>
      </c>
      <c r="B32" s="15">
        <v>559792</v>
      </c>
      <c r="C32" s="15">
        <v>521069</v>
      </c>
      <c r="D32" s="15">
        <v>442652</v>
      </c>
      <c r="E32" s="15">
        <v>424165</v>
      </c>
      <c r="F32" s="15">
        <v>385044</v>
      </c>
      <c r="G32" s="15">
        <v>355433</v>
      </c>
      <c r="H32" s="15">
        <v>333713</v>
      </c>
      <c r="I32" s="15">
        <v>300750</v>
      </c>
      <c r="J32" s="15">
        <v>258163</v>
      </c>
      <c r="K32" s="14">
        <v>223938</v>
      </c>
      <c r="L32" s="15">
        <v>182915</v>
      </c>
      <c r="M32" s="15">
        <v>174337</v>
      </c>
      <c r="N32" s="15">
        <v>132519</v>
      </c>
      <c r="O32" s="15">
        <v>0</v>
      </c>
      <c r="P32" s="15">
        <v>0</v>
      </c>
      <c r="Q32" s="15">
        <v>0</v>
      </c>
      <c r="R32" s="15">
        <v>0</v>
      </c>
      <c r="S32" s="15">
        <v>0</v>
      </c>
    </row>
    <row r="33" spans="1:19" x14ac:dyDescent="0.25">
      <c r="A33" s="2" t="s">
        <v>15</v>
      </c>
      <c r="B33" s="18">
        <f t="shared" ref="B33:H33" si="4">SUM(B24:B32)</f>
        <v>2132189</v>
      </c>
      <c r="C33" s="18">
        <f t="shared" si="4"/>
        <v>2047457</v>
      </c>
      <c r="D33" s="18">
        <f t="shared" si="4"/>
        <v>1698548</v>
      </c>
      <c r="E33" s="18">
        <f t="shared" si="4"/>
        <v>1534707</v>
      </c>
      <c r="F33" s="18">
        <f t="shared" si="4"/>
        <v>1311509</v>
      </c>
      <c r="G33" s="18">
        <f t="shared" si="4"/>
        <v>1174058</v>
      </c>
      <c r="H33" s="18">
        <f t="shared" si="4"/>
        <v>1105787</v>
      </c>
      <c r="I33" s="18">
        <f t="shared" ref="I33:S33" si="5">SUM(I24:I32)</f>
        <v>1005193</v>
      </c>
      <c r="J33" s="18">
        <f t="shared" si="5"/>
        <v>997173</v>
      </c>
      <c r="K33" s="18">
        <f t="shared" si="5"/>
        <v>875497</v>
      </c>
      <c r="L33" s="18">
        <f t="shared" si="5"/>
        <v>684173</v>
      </c>
      <c r="M33" s="18">
        <f t="shared" si="5"/>
        <v>646313</v>
      </c>
      <c r="N33" s="18">
        <f t="shared" si="5"/>
        <v>522671</v>
      </c>
      <c r="O33" s="18">
        <f t="shared" si="5"/>
        <v>477351</v>
      </c>
      <c r="P33" s="18">
        <f t="shared" si="5"/>
        <v>490770</v>
      </c>
      <c r="Q33" s="18">
        <f t="shared" si="5"/>
        <v>490024</v>
      </c>
      <c r="R33" s="18">
        <f t="shared" si="5"/>
        <v>512022</v>
      </c>
      <c r="S33" s="18">
        <f t="shared" si="5"/>
        <v>344870</v>
      </c>
    </row>
    <row r="34" spans="1:19" x14ac:dyDescent="0.25">
      <c r="A34" s="2" t="s">
        <v>38</v>
      </c>
      <c r="B34" s="15">
        <v>2511417</v>
      </c>
      <c r="C34" s="15">
        <v>3255304</v>
      </c>
      <c r="D34" s="15">
        <v>1322415</v>
      </c>
      <c r="E34" s="15">
        <v>1778672</v>
      </c>
      <c r="F34" s="15">
        <v>1163795</v>
      </c>
      <c r="G34" s="15">
        <v>995479</v>
      </c>
      <c r="H34" s="15">
        <v>952562</v>
      </c>
      <c r="I34" s="15">
        <v>715000</v>
      </c>
      <c r="J34" s="15">
        <v>300000</v>
      </c>
      <c r="K34" s="14">
        <v>0</v>
      </c>
      <c r="L34" s="15">
        <v>0</v>
      </c>
      <c r="M34" s="15">
        <v>0</v>
      </c>
      <c r="N34" s="15">
        <v>0</v>
      </c>
      <c r="O34" s="15">
        <v>0</v>
      </c>
      <c r="P34" s="15">
        <v>0</v>
      </c>
      <c r="Q34" s="15">
        <v>0</v>
      </c>
      <c r="R34" s="15">
        <v>0</v>
      </c>
      <c r="S34" s="15">
        <v>0</v>
      </c>
    </row>
    <row r="35" spans="1:19" x14ac:dyDescent="0.25">
      <c r="A35" s="2" t="s">
        <v>39</v>
      </c>
      <c r="B35" s="15">
        <v>0</v>
      </c>
      <c r="C35" s="15">
        <v>0</v>
      </c>
      <c r="D35" s="15">
        <v>0</v>
      </c>
      <c r="E35" s="15">
        <v>0</v>
      </c>
      <c r="F35" s="15">
        <v>515240</v>
      </c>
      <c r="G35" s="15">
        <v>490369</v>
      </c>
      <c r="H35" s="15">
        <v>486645</v>
      </c>
      <c r="I35" s="15">
        <v>400323</v>
      </c>
      <c r="J35" s="15">
        <v>306284</v>
      </c>
      <c r="K35" s="14">
        <v>315925</v>
      </c>
      <c r="L35" s="15">
        <v>337452</v>
      </c>
      <c r="M35" s="15">
        <v>353566</v>
      </c>
      <c r="N35" s="15">
        <v>367617</v>
      </c>
      <c r="O35" s="15">
        <v>27371</v>
      </c>
      <c r="P35" s="15">
        <v>178062</v>
      </c>
      <c r="Q35" s="15">
        <v>227153</v>
      </c>
      <c r="R35" s="15">
        <v>33744</v>
      </c>
      <c r="S35" s="15">
        <v>134787</v>
      </c>
    </row>
    <row r="36" spans="1:19" x14ac:dyDescent="0.25">
      <c r="A36" s="2" t="s">
        <v>40</v>
      </c>
      <c r="B36" s="15">
        <v>15534801</v>
      </c>
      <c r="C36" s="15">
        <v>14919715</v>
      </c>
      <c r="D36" s="15">
        <v>13297504</v>
      </c>
      <c r="E36" s="15">
        <v>13165384</v>
      </c>
      <c r="F36" s="15">
        <v>12127290</v>
      </c>
      <c r="G36" s="15">
        <v>11266964</v>
      </c>
      <c r="H36" s="15">
        <v>10387231</v>
      </c>
      <c r="I36" s="15">
        <v>9227000</v>
      </c>
      <c r="J36" s="15">
        <v>8212466</v>
      </c>
      <c r="K36" s="14">
        <v>7024506</v>
      </c>
      <c r="L36" s="15">
        <v>5672175</v>
      </c>
      <c r="M36" s="15">
        <v>4509752</v>
      </c>
      <c r="N36" s="15">
        <v>3881142</v>
      </c>
      <c r="O36" s="97" t="s">
        <v>51</v>
      </c>
      <c r="P36" s="97"/>
      <c r="Q36" s="97"/>
      <c r="R36" s="97"/>
      <c r="S36" s="97"/>
    </row>
    <row r="37" spans="1:19" x14ac:dyDescent="0.25">
      <c r="A37" s="2" t="s">
        <v>161</v>
      </c>
      <c r="B37" s="15">
        <v>512542</v>
      </c>
      <c r="C37" s="15">
        <v>523269</v>
      </c>
      <c r="D37" s="15">
        <v>423618</v>
      </c>
      <c r="E37" s="15">
        <v>440671</v>
      </c>
      <c r="F37" s="15">
        <v>0</v>
      </c>
      <c r="G37" s="15">
        <v>0</v>
      </c>
      <c r="H37" s="15">
        <v>0</v>
      </c>
      <c r="I37" s="15">
        <v>0</v>
      </c>
      <c r="J37" s="15">
        <v>0</v>
      </c>
      <c r="K37" s="15">
        <v>0</v>
      </c>
      <c r="L37" s="15">
        <v>0</v>
      </c>
      <c r="M37" s="15">
        <v>0</v>
      </c>
      <c r="N37" s="15">
        <v>0</v>
      </c>
      <c r="O37" s="15">
        <v>0</v>
      </c>
      <c r="P37" s="15">
        <v>0</v>
      </c>
      <c r="Q37" s="15">
        <v>0</v>
      </c>
      <c r="R37" s="15">
        <v>0</v>
      </c>
      <c r="S37" s="15">
        <v>0</v>
      </c>
    </row>
    <row r="38" spans="1:19" x14ac:dyDescent="0.25">
      <c r="A38" s="2" t="s">
        <v>41</v>
      </c>
      <c r="B38" s="15">
        <v>365367</v>
      </c>
      <c r="C38" s="15">
        <v>357080</v>
      </c>
      <c r="D38" s="15">
        <v>434843</v>
      </c>
      <c r="E38" s="15">
        <v>393873</v>
      </c>
      <c r="F38" s="15">
        <v>243005</v>
      </c>
      <c r="G38" s="15">
        <v>242553</v>
      </c>
      <c r="H38" s="15">
        <v>238551</v>
      </c>
      <c r="I38" s="15">
        <v>229274</v>
      </c>
      <c r="J38" s="15">
        <v>225493</v>
      </c>
      <c r="K38" s="14">
        <v>174232</v>
      </c>
      <c r="L38" s="15">
        <v>175635</v>
      </c>
      <c r="M38" s="15">
        <v>148800</v>
      </c>
      <c r="N38" s="15">
        <v>114870</v>
      </c>
      <c r="O38" s="15">
        <v>117887</v>
      </c>
      <c r="P38" s="15">
        <v>117288</v>
      </c>
      <c r="Q38" s="15">
        <v>127058</v>
      </c>
      <c r="R38" s="15">
        <v>92432</v>
      </c>
      <c r="S38" s="15">
        <v>49852</v>
      </c>
    </row>
    <row r="39" spans="1:19" x14ac:dyDescent="0.25">
      <c r="A39" s="2" t="s">
        <v>42</v>
      </c>
      <c r="B39" s="18">
        <f t="shared" ref="B39:H39" si="6">SUM(B33:B38)</f>
        <v>21056316</v>
      </c>
      <c r="C39" s="18">
        <f t="shared" si="6"/>
        <v>21102825</v>
      </c>
      <c r="D39" s="18">
        <f t="shared" si="6"/>
        <v>17176928</v>
      </c>
      <c r="E39" s="18">
        <f t="shared" si="6"/>
        <v>17313307</v>
      </c>
      <c r="F39" s="18">
        <f t="shared" si="6"/>
        <v>15360839</v>
      </c>
      <c r="G39" s="18">
        <f t="shared" si="6"/>
        <v>14169423</v>
      </c>
      <c r="H39" s="18">
        <f t="shared" si="6"/>
        <v>13170776</v>
      </c>
      <c r="I39" s="18">
        <f t="shared" ref="I39:S39" si="7">SUM(I33:I38)</f>
        <v>11576790</v>
      </c>
      <c r="J39" s="18">
        <f t="shared" si="7"/>
        <v>10041416</v>
      </c>
      <c r="K39" s="18">
        <f t="shared" si="7"/>
        <v>8390160</v>
      </c>
      <c r="L39" s="18">
        <f t="shared" si="7"/>
        <v>6869435</v>
      </c>
      <c r="M39" s="18">
        <f t="shared" si="7"/>
        <v>5658431</v>
      </c>
      <c r="N39" s="18">
        <f t="shared" si="7"/>
        <v>4886300</v>
      </c>
      <c r="O39" s="18">
        <f t="shared" si="7"/>
        <v>622609</v>
      </c>
      <c r="P39" s="18">
        <f t="shared" si="7"/>
        <v>786120</v>
      </c>
      <c r="Q39" s="18">
        <f t="shared" si="7"/>
        <v>844235</v>
      </c>
      <c r="R39" s="18">
        <f t="shared" si="7"/>
        <v>638198</v>
      </c>
      <c r="S39" s="18">
        <f t="shared" si="7"/>
        <v>529509</v>
      </c>
    </row>
    <row r="40" spans="1:19" x14ac:dyDescent="0.25">
      <c r="A40" s="2" t="s">
        <v>43</v>
      </c>
      <c r="B40" s="15"/>
      <c r="C40" s="15"/>
      <c r="D40" s="15"/>
      <c r="E40" s="15"/>
      <c r="F40" s="15"/>
      <c r="G40" s="15"/>
      <c r="H40" s="15"/>
      <c r="I40" s="15"/>
      <c r="J40" s="15"/>
      <c r="L40" s="15"/>
      <c r="M40" s="15"/>
      <c r="N40" s="15"/>
      <c r="O40" s="15"/>
      <c r="P40" s="15"/>
      <c r="Q40" s="15"/>
      <c r="R40" s="15"/>
      <c r="S40" s="15"/>
    </row>
    <row r="41" spans="1:19" x14ac:dyDescent="0.25">
      <c r="A41" s="2" t="s">
        <v>8</v>
      </c>
      <c r="B41" s="15">
        <v>79022</v>
      </c>
      <c r="C41" s="15">
        <v>80527</v>
      </c>
      <c r="D41" s="15">
        <v>81586</v>
      </c>
      <c r="E41" s="15">
        <v>81541</v>
      </c>
      <c r="F41" s="15">
        <v>83739</v>
      </c>
      <c r="G41" s="15">
        <v>89874</v>
      </c>
      <c r="H41" s="15">
        <v>93274</v>
      </c>
      <c r="I41" s="15">
        <v>97356</v>
      </c>
      <c r="J41" s="15">
        <v>104435</v>
      </c>
      <c r="K41" s="14">
        <v>110843</v>
      </c>
      <c r="L41" s="15">
        <v>112953</v>
      </c>
      <c r="M41" s="15">
        <v>113559</v>
      </c>
      <c r="N41" s="15">
        <v>112943</v>
      </c>
      <c r="O41" s="15">
        <v>111533</v>
      </c>
      <c r="P41" s="15">
        <v>110196</v>
      </c>
      <c r="Q41" s="15">
        <v>109308</v>
      </c>
      <c r="R41" s="15">
        <v>108014</v>
      </c>
      <c r="S41" s="15">
        <v>104954</v>
      </c>
    </row>
    <row r="42" spans="1:19" x14ac:dyDescent="0.25">
      <c r="A42" s="2" t="s">
        <v>44</v>
      </c>
      <c r="B42" s="15">
        <v>1684408</v>
      </c>
      <c r="C42" s="15">
        <v>1677268</v>
      </c>
      <c r="D42" s="15">
        <v>1513821</v>
      </c>
      <c r="E42" s="15">
        <v>1348988</v>
      </c>
      <c r="F42" s="15">
        <v>1237153</v>
      </c>
      <c r="G42" s="15">
        <v>1234047</v>
      </c>
      <c r="H42" s="15">
        <v>1188578</v>
      </c>
      <c r="I42" s="15">
        <v>1130822</v>
      </c>
      <c r="J42" s="15">
        <v>1123520</v>
      </c>
      <c r="K42" s="14">
        <v>1038209</v>
      </c>
      <c r="L42" s="15">
        <v>972250</v>
      </c>
      <c r="M42" s="15">
        <v>877493</v>
      </c>
      <c r="N42" s="15">
        <v>820639</v>
      </c>
      <c r="O42" s="15">
        <v>746134</v>
      </c>
      <c r="P42" s="15">
        <v>685938</v>
      </c>
      <c r="Q42" s="15">
        <v>641766</v>
      </c>
      <c r="R42" s="15">
        <v>587546</v>
      </c>
      <c r="S42" s="15">
        <v>501599</v>
      </c>
    </row>
    <row r="43" spans="1:19" x14ac:dyDescent="0.25">
      <c r="A43" s="2" t="s">
        <v>16</v>
      </c>
      <c r="B43" s="15">
        <v>31999</v>
      </c>
      <c r="C43" s="15">
        <v>-46422</v>
      </c>
      <c r="D43" s="15">
        <v>-118691</v>
      </c>
      <c r="E43" s="15">
        <v>-150071</v>
      </c>
      <c r="F43" s="15">
        <v>-68010</v>
      </c>
      <c r="G43" s="15">
        <v>-54312</v>
      </c>
      <c r="H43" s="15">
        <v>-56555</v>
      </c>
      <c r="I43" s="15">
        <v>-70196</v>
      </c>
      <c r="J43" s="15">
        <v>-65391</v>
      </c>
      <c r="K43" s="14">
        <v>-46271</v>
      </c>
      <c r="L43" s="15">
        <v>-59808</v>
      </c>
      <c r="M43" s="15">
        <v>-62459</v>
      </c>
      <c r="N43" s="15">
        <v>-25057</v>
      </c>
      <c r="O43" s="15">
        <v>-19546</v>
      </c>
      <c r="P43" s="15">
        <v>-16860</v>
      </c>
      <c r="Q43" s="15">
        <v>-16728</v>
      </c>
      <c r="R43" s="15">
        <v>-20332</v>
      </c>
      <c r="S43" s="15">
        <v>0</v>
      </c>
    </row>
    <row r="44" spans="1:19" x14ac:dyDescent="0.25">
      <c r="A44" s="2" t="s">
        <v>9</v>
      </c>
      <c r="B44" s="15">
        <v>3618798</v>
      </c>
      <c r="C44" s="15">
        <v>3524066</v>
      </c>
      <c r="D44" s="15">
        <v>2887897</v>
      </c>
      <c r="E44" s="15">
        <v>2488417</v>
      </c>
      <c r="F44" s="15">
        <v>2104146</v>
      </c>
      <c r="G44" s="15">
        <v>2047240</v>
      </c>
      <c r="H44" s="15">
        <v>1883283</v>
      </c>
      <c r="I44" s="15">
        <v>1746804</v>
      </c>
      <c r="J44" s="15">
        <v>1994221</v>
      </c>
      <c r="K44" s="14">
        <v>2214216</v>
      </c>
      <c r="L44" s="15">
        <v>1993772</v>
      </c>
      <c r="M44" s="15">
        <v>1744519</v>
      </c>
      <c r="N44" s="15">
        <v>1330724</v>
      </c>
      <c r="O44" s="15">
        <v>1095461</v>
      </c>
      <c r="P44" s="15">
        <v>813793</v>
      </c>
      <c r="Q44" s="15">
        <v>754580</v>
      </c>
      <c r="R44" s="15">
        <v>572147</v>
      </c>
      <c r="S44" s="15">
        <v>373550</v>
      </c>
    </row>
    <row r="45" spans="1:19" x14ac:dyDescent="0.25">
      <c r="A45" s="12" t="s">
        <v>45</v>
      </c>
      <c r="B45" s="19">
        <f t="shared" ref="B45:H45" si="8">SUM(B41:B44)</f>
        <v>5414227</v>
      </c>
      <c r="C45" s="19">
        <f t="shared" si="8"/>
        <v>5235439</v>
      </c>
      <c r="D45" s="19">
        <f t="shared" si="8"/>
        <v>4364613</v>
      </c>
      <c r="E45" s="19">
        <f t="shared" si="8"/>
        <v>3768875</v>
      </c>
      <c r="F45" s="19">
        <f t="shared" si="8"/>
        <v>3357028</v>
      </c>
      <c r="G45" s="19">
        <f t="shared" si="8"/>
        <v>3316849</v>
      </c>
      <c r="H45" s="19">
        <f t="shared" si="8"/>
        <v>3108580</v>
      </c>
      <c r="I45" s="19">
        <f t="shared" ref="I45:S45" si="9">SUM(I41:I44)</f>
        <v>2904786</v>
      </c>
      <c r="J45" s="19">
        <f t="shared" si="9"/>
        <v>3156785</v>
      </c>
      <c r="K45" s="19">
        <f t="shared" si="9"/>
        <v>3316997</v>
      </c>
      <c r="L45" s="19">
        <f t="shared" si="9"/>
        <v>3019167</v>
      </c>
      <c r="M45" s="19">
        <f t="shared" si="9"/>
        <v>2673112</v>
      </c>
      <c r="N45" s="19">
        <f t="shared" si="9"/>
        <v>2239249</v>
      </c>
      <c r="O45" s="19">
        <f t="shared" si="9"/>
        <v>1933582</v>
      </c>
      <c r="P45" s="19">
        <f t="shared" si="9"/>
        <v>1593067</v>
      </c>
      <c r="Q45" s="19">
        <f t="shared" si="9"/>
        <v>1488926</v>
      </c>
      <c r="R45" s="19">
        <f t="shared" si="9"/>
        <v>1247375</v>
      </c>
      <c r="S45" s="19">
        <f t="shared" si="9"/>
        <v>980103</v>
      </c>
    </row>
    <row r="46" spans="1:19" ht="20" thickBot="1" x14ac:dyDescent="0.3">
      <c r="A46" s="12" t="s">
        <v>46</v>
      </c>
      <c r="B46" s="17">
        <f t="shared" ref="B46:H46" si="10">B45+B39</f>
        <v>26470543</v>
      </c>
      <c r="C46" s="17">
        <f t="shared" si="10"/>
        <v>26338264</v>
      </c>
      <c r="D46" s="17">
        <f t="shared" si="10"/>
        <v>21541541</v>
      </c>
      <c r="E46" s="17">
        <f t="shared" si="10"/>
        <v>21082182</v>
      </c>
      <c r="F46" s="17">
        <f t="shared" si="10"/>
        <v>18717867</v>
      </c>
      <c r="G46" s="17">
        <f t="shared" si="10"/>
        <v>17486272</v>
      </c>
      <c r="H46" s="17">
        <f t="shared" si="10"/>
        <v>16279356</v>
      </c>
      <c r="I46" s="17">
        <f t="shared" ref="I46:S46" si="11">I45+I39</f>
        <v>14481576</v>
      </c>
      <c r="J46" s="17">
        <f t="shared" si="11"/>
        <v>13198201</v>
      </c>
      <c r="K46" s="17">
        <f t="shared" si="11"/>
        <v>11707157</v>
      </c>
      <c r="L46" s="17">
        <f t="shared" si="11"/>
        <v>9888602</v>
      </c>
      <c r="M46" s="17">
        <f t="shared" si="11"/>
        <v>8331543</v>
      </c>
      <c r="N46" s="17">
        <f t="shared" si="11"/>
        <v>7125549</v>
      </c>
      <c r="O46" s="17">
        <f t="shared" si="11"/>
        <v>2556191</v>
      </c>
      <c r="P46" s="17">
        <f t="shared" si="11"/>
        <v>2379187</v>
      </c>
      <c r="Q46" s="17">
        <f t="shared" si="11"/>
        <v>2333161</v>
      </c>
      <c r="R46" s="17">
        <f t="shared" si="11"/>
        <v>1885573</v>
      </c>
      <c r="S46" s="17">
        <f t="shared" si="11"/>
        <v>1509612</v>
      </c>
    </row>
    <row r="47" spans="1:19" ht="20" thickTop="1" x14ac:dyDescent="0.25">
      <c r="B47" s="15">
        <f t="shared" ref="B47:H47" si="12">B46-B21</f>
        <v>0</v>
      </c>
      <c r="C47" s="15">
        <f t="shared" si="12"/>
        <v>0</v>
      </c>
      <c r="D47" s="15">
        <f t="shared" si="12"/>
        <v>0</v>
      </c>
      <c r="E47" s="15">
        <f t="shared" si="12"/>
        <v>0</v>
      </c>
      <c r="F47" s="15">
        <f t="shared" si="12"/>
        <v>0</v>
      </c>
      <c r="G47" s="15">
        <f t="shared" si="12"/>
        <v>0</v>
      </c>
      <c r="H47" s="15">
        <f t="shared" si="12"/>
        <v>0</v>
      </c>
      <c r="I47" s="15">
        <f t="shared" ref="I47:S47" si="13">I46-I21</f>
        <v>0</v>
      </c>
      <c r="J47" s="15">
        <f t="shared" si="13"/>
        <v>0</v>
      </c>
      <c r="K47" s="15">
        <f t="shared" si="13"/>
        <v>0</v>
      </c>
      <c r="L47" s="15">
        <f t="shared" si="13"/>
        <v>0</v>
      </c>
      <c r="M47" s="15">
        <f t="shared" si="13"/>
        <v>0</v>
      </c>
      <c r="N47" s="15">
        <f t="shared" si="13"/>
        <v>0</v>
      </c>
      <c r="O47" s="15">
        <f t="shared" si="13"/>
        <v>0</v>
      </c>
      <c r="P47" s="15">
        <f t="shared" si="13"/>
        <v>0</v>
      </c>
      <c r="Q47" s="15">
        <f t="shared" si="13"/>
        <v>0</v>
      </c>
      <c r="R47" s="15">
        <f t="shared" si="13"/>
        <v>0</v>
      </c>
      <c r="S47" s="15">
        <f t="shared" si="13"/>
        <v>0</v>
      </c>
    </row>
    <row r="48" spans="1:19" x14ac:dyDescent="0.25">
      <c r="A48" s="2" t="s">
        <v>10</v>
      </c>
      <c r="B48" s="15">
        <v>158043.981</v>
      </c>
      <c r="C48" s="15">
        <v>161053.98300000001</v>
      </c>
      <c r="D48" s="15">
        <v>163172.33300000001</v>
      </c>
      <c r="E48" s="15">
        <v>163081.37599999999</v>
      </c>
      <c r="F48" s="15">
        <v>167478.924</v>
      </c>
      <c r="G48" s="15">
        <v>179747.894</v>
      </c>
      <c r="H48" s="15">
        <v>186548.60200000001</v>
      </c>
      <c r="I48" s="15">
        <v>194712.234</v>
      </c>
      <c r="J48" s="15">
        <v>208869.68799999999</v>
      </c>
      <c r="K48" s="14">
        <v>221685.984</v>
      </c>
      <c r="L48" s="15">
        <v>225906.10800000001</v>
      </c>
      <c r="M48" s="15">
        <v>227118.666</v>
      </c>
      <c r="N48" s="15">
        <v>225885.693</v>
      </c>
      <c r="O48" s="15">
        <v>223065.54199999999</v>
      </c>
      <c r="P48" s="15">
        <v>220392.014</v>
      </c>
      <c r="Q48" s="15">
        <v>218616.06899999999</v>
      </c>
      <c r="R48" s="15">
        <v>216028.166</v>
      </c>
      <c r="S48" s="15">
        <v>209909.96599999999</v>
      </c>
    </row>
    <row r="49" spans="1:19" x14ac:dyDescent="0.25">
      <c r="A49" s="2" t="s">
        <v>11</v>
      </c>
      <c r="B49" s="20">
        <f t="shared" ref="B49:H49" si="14">B45/B48</f>
        <v>34.257723487742311</v>
      </c>
      <c r="C49" s="20">
        <f t="shared" si="14"/>
        <v>32.507355002825356</v>
      </c>
      <c r="D49" s="20">
        <f t="shared" si="14"/>
        <v>26.748486828339946</v>
      </c>
      <c r="E49" s="20">
        <f t="shared" si="14"/>
        <v>23.110394898801935</v>
      </c>
      <c r="F49" s="20">
        <f t="shared" si="14"/>
        <v>20.044480343090811</v>
      </c>
      <c r="G49" s="20">
        <f t="shared" si="14"/>
        <v>18.452783652641848</v>
      </c>
      <c r="H49" s="20">
        <f t="shared" si="14"/>
        <v>16.663646720869018</v>
      </c>
      <c r="I49" s="20">
        <f t="shared" ref="I49:S49" si="15">I45/I48</f>
        <v>14.918353820541137</v>
      </c>
      <c r="J49" s="20">
        <f t="shared" si="15"/>
        <v>15.113657851588307</v>
      </c>
      <c r="K49" s="20">
        <f t="shared" si="15"/>
        <v>14.962592312556847</v>
      </c>
      <c r="L49" s="20">
        <f t="shared" si="15"/>
        <v>13.364698399389891</v>
      </c>
      <c r="M49" s="20">
        <f t="shared" si="15"/>
        <v>11.769671102242208</v>
      </c>
      <c r="N49" s="20">
        <f t="shared" si="15"/>
        <v>9.9131953434518767</v>
      </c>
      <c r="O49" s="20">
        <f t="shared" si="15"/>
        <v>8.668223620123273</v>
      </c>
      <c r="P49" s="20">
        <f t="shared" si="15"/>
        <v>7.2283336001457839</v>
      </c>
      <c r="Q49" s="20">
        <f t="shared" si="15"/>
        <v>6.8106887421893951</v>
      </c>
      <c r="R49" s="20">
        <f t="shared" si="15"/>
        <v>5.7741313232275466</v>
      </c>
      <c r="S49" s="20">
        <f t="shared" si="15"/>
        <v>4.669158966944905</v>
      </c>
    </row>
    <row r="50" spans="1:19" x14ac:dyDescent="0.25">
      <c r="A50" s="2" t="s">
        <v>48</v>
      </c>
      <c r="B50" s="21">
        <f t="shared" ref="B50" si="16">(B48/C48)-1</f>
        <v>-1.8689398075923402E-2</v>
      </c>
      <c r="C50" s="21">
        <f t="shared" ref="C50" si="17">(C48/D48)-1</f>
        <v>-1.298228664782286E-2</v>
      </c>
      <c r="D50" s="21">
        <f t="shared" ref="D50" si="18">(D48/E48)-1</f>
        <v>5.5773995922159258E-4</v>
      </c>
      <c r="E50" s="21">
        <f t="shared" ref="E50" si="19">(E48/F48)-1</f>
        <v>-2.6257321786949173E-2</v>
      </c>
      <c r="F50" s="21">
        <f t="shared" ref="F50" si="20">(F48/G48)-1</f>
        <v>-6.825654380128654E-2</v>
      </c>
      <c r="G50" s="21">
        <f t="shared" ref="G50" si="21">(G48/H48)-1</f>
        <v>-3.6455421949503575E-2</v>
      </c>
      <c r="H50" s="21">
        <f t="shared" ref="H50" si="22">(H48/I48)-1</f>
        <v>-4.1926651614505039E-2</v>
      </c>
      <c r="I50" s="21">
        <f t="shared" ref="I50:R50" si="23">(I48/J48)-1</f>
        <v>-6.7781276141897662E-2</v>
      </c>
      <c r="J50" s="21">
        <f t="shared" si="23"/>
        <v>-5.7812838541926093E-2</v>
      </c>
      <c r="K50" s="21">
        <f t="shared" si="23"/>
        <v>-1.8680876038995819E-2</v>
      </c>
      <c r="L50" s="21">
        <f t="shared" si="23"/>
        <v>-5.3388742605594564E-3</v>
      </c>
      <c r="M50" s="21">
        <f t="shared" si="23"/>
        <v>5.458393507020487E-3</v>
      </c>
      <c r="N50" s="21">
        <f t="shared" si="23"/>
        <v>1.2642701220074715E-2</v>
      </c>
      <c r="O50" s="21">
        <f t="shared" si="23"/>
        <v>1.2130784375880221E-2</v>
      </c>
      <c r="P50" s="21">
        <f t="shared" si="23"/>
        <v>8.1235794245297921E-3</v>
      </c>
      <c r="Q50" s="21">
        <f t="shared" si="23"/>
        <v>1.1979470306663575E-2</v>
      </c>
      <c r="R50" s="21">
        <f t="shared" si="23"/>
        <v>2.914678191125053E-2</v>
      </c>
    </row>
    <row r="51" spans="1:19" x14ac:dyDescent="0.25">
      <c r="B51" s="15"/>
      <c r="C51" s="15"/>
      <c r="D51" s="15"/>
      <c r="E51" s="15"/>
      <c r="F51" s="15"/>
      <c r="G51" s="15"/>
      <c r="H51" s="15"/>
      <c r="I51" s="15"/>
      <c r="J51" s="15"/>
      <c r="L51" s="15"/>
      <c r="M51" s="15"/>
      <c r="N51" s="15"/>
      <c r="O51" s="15"/>
      <c r="P51" s="15"/>
      <c r="Q51" s="15"/>
      <c r="R51" s="15"/>
    </row>
    <row r="52" spans="1:19" x14ac:dyDescent="0.25">
      <c r="B52" s="15"/>
      <c r="C52" s="15"/>
      <c r="D52" s="15"/>
      <c r="E52" s="15"/>
      <c r="F52" s="15"/>
      <c r="G52" s="15"/>
      <c r="H52" s="15"/>
      <c r="I52" s="15"/>
      <c r="J52" s="15"/>
      <c r="L52" s="15"/>
      <c r="M52" s="15"/>
      <c r="N52" s="15"/>
      <c r="O52" s="15"/>
      <c r="P52" s="15"/>
      <c r="Q52" s="15"/>
      <c r="R52" s="15"/>
    </row>
    <row r="53" spans="1:19" x14ac:dyDescent="0.25">
      <c r="A53" s="12" t="s">
        <v>193</v>
      </c>
      <c r="B53" s="15"/>
      <c r="C53" s="15"/>
      <c r="D53" s="15"/>
      <c r="E53" s="15"/>
      <c r="F53" s="15"/>
      <c r="G53" s="15"/>
      <c r="H53" s="15"/>
      <c r="I53" s="15"/>
      <c r="J53" s="15"/>
      <c r="L53" s="15"/>
      <c r="M53" s="15"/>
      <c r="N53" s="15"/>
      <c r="O53" s="15"/>
      <c r="P53" s="15"/>
      <c r="Q53" s="15"/>
      <c r="R53" s="15"/>
    </row>
    <row r="54" spans="1:19" x14ac:dyDescent="0.25">
      <c r="A54" s="2" t="s">
        <v>27</v>
      </c>
      <c r="B54" s="15">
        <f>B15</f>
        <v>15961213</v>
      </c>
      <c r="C54" s="15">
        <f t="shared" ref="C54:N54" si="24">C15</f>
        <v>15289701</v>
      </c>
      <c r="D54" s="15">
        <f t="shared" si="24"/>
        <v>13489819</v>
      </c>
      <c r="E54" s="15">
        <f t="shared" si="24"/>
        <v>13551711</v>
      </c>
      <c r="F54" s="15">
        <f t="shared" si="24"/>
        <v>12428487</v>
      </c>
      <c r="G54" s="15">
        <f t="shared" si="24"/>
        <v>11535704</v>
      </c>
      <c r="H54" s="15">
        <f t="shared" si="24"/>
        <v>10596076</v>
      </c>
      <c r="I54" s="15">
        <f t="shared" si="24"/>
        <v>9536892</v>
      </c>
      <c r="J54" s="15">
        <f t="shared" si="24"/>
        <v>8435504</v>
      </c>
      <c r="K54" s="15">
        <f t="shared" si="24"/>
        <v>7147848</v>
      </c>
      <c r="L54" s="15">
        <f t="shared" si="24"/>
        <v>5895918</v>
      </c>
      <c r="M54" s="15">
        <f t="shared" si="24"/>
        <v>4959847</v>
      </c>
      <c r="N54" s="15">
        <f t="shared" si="24"/>
        <v>4320575</v>
      </c>
      <c r="O54" s="15"/>
      <c r="P54" s="15"/>
      <c r="Q54" s="15"/>
      <c r="R54" s="15"/>
    </row>
    <row r="55" spans="1:19" x14ac:dyDescent="0.25">
      <c r="A55" s="2" t="s">
        <v>197</v>
      </c>
      <c r="B55" s="15">
        <f>B7</f>
        <v>533253</v>
      </c>
      <c r="C55" s="15">
        <f t="shared" ref="C55:N55" si="25">C7</f>
        <v>548099</v>
      </c>
      <c r="D55" s="15">
        <f t="shared" si="25"/>
        <v>496415</v>
      </c>
      <c r="E55" s="15">
        <f t="shared" si="25"/>
        <v>481043</v>
      </c>
      <c r="F55" s="15">
        <f t="shared" si="25"/>
        <v>440669</v>
      </c>
      <c r="G55" s="15">
        <f t="shared" si="25"/>
        <v>399442</v>
      </c>
      <c r="H55" s="15">
        <f t="shared" si="25"/>
        <v>380353</v>
      </c>
      <c r="I55" s="15">
        <f t="shared" si="25"/>
        <v>343829</v>
      </c>
      <c r="J55" s="15">
        <f t="shared" si="25"/>
        <v>294122</v>
      </c>
      <c r="K55" s="15">
        <f t="shared" si="25"/>
        <v>259299</v>
      </c>
      <c r="L55" s="15">
        <f t="shared" si="25"/>
        <v>224287</v>
      </c>
      <c r="M55" s="15">
        <f t="shared" si="25"/>
        <v>204314</v>
      </c>
      <c r="N55" s="15">
        <f t="shared" si="25"/>
        <v>161052</v>
      </c>
      <c r="O55" s="15"/>
      <c r="P55" s="15"/>
      <c r="Q55" s="15"/>
      <c r="R55" s="15"/>
    </row>
    <row r="56" spans="1:19" x14ac:dyDescent="0.25">
      <c r="A56" s="2" t="s">
        <v>195</v>
      </c>
      <c r="B56" s="15"/>
      <c r="C56" s="15"/>
      <c r="D56" s="15"/>
      <c r="E56" s="15"/>
      <c r="F56" s="15"/>
      <c r="G56" s="15"/>
      <c r="H56" s="15"/>
      <c r="I56" s="15"/>
      <c r="J56" s="15"/>
      <c r="K56" s="15"/>
      <c r="L56" s="15"/>
      <c r="M56" s="15"/>
      <c r="N56" s="15"/>
      <c r="O56" s="15"/>
      <c r="P56" s="15"/>
      <c r="Q56" s="15"/>
      <c r="R56" s="15"/>
    </row>
    <row r="57" spans="1:19" x14ac:dyDescent="0.25">
      <c r="A57" s="2" t="s">
        <v>37</v>
      </c>
      <c r="B57" s="15">
        <f>-B32</f>
        <v>-559792</v>
      </c>
      <c r="C57" s="15">
        <f t="shared" ref="C57:N57" si="26">-C32</f>
        <v>-521069</v>
      </c>
      <c r="D57" s="15">
        <f t="shared" si="26"/>
        <v>-442652</v>
      </c>
      <c r="E57" s="15">
        <f t="shared" si="26"/>
        <v>-424165</v>
      </c>
      <c r="F57" s="15">
        <f t="shared" si="26"/>
        <v>-385044</v>
      </c>
      <c r="G57" s="15">
        <f t="shared" si="26"/>
        <v>-355433</v>
      </c>
      <c r="H57" s="15">
        <f t="shared" si="26"/>
        <v>-333713</v>
      </c>
      <c r="I57" s="15">
        <f t="shared" si="26"/>
        <v>-300750</v>
      </c>
      <c r="J57" s="15">
        <f t="shared" si="26"/>
        <v>-258163</v>
      </c>
      <c r="K57" s="15">
        <f t="shared" si="26"/>
        <v>-223938</v>
      </c>
      <c r="L57" s="15">
        <f t="shared" si="26"/>
        <v>-182915</v>
      </c>
      <c r="M57" s="15">
        <f t="shared" si="26"/>
        <v>-174337</v>
      </c>
      <c r="N57" s="15">
        <f t="shared" si="26"/>
        <v>-132519</v>
      </c>
      <c r="O57" s="15"/>
      <c r="P57" s="15"/>
      <c r="Q57" s="15"/>
      <c r="R57" s="15"/>
    </row>
    <row r="58" spans="1:19" x14ac:dyDescent="0.25">
      <c r="A58" s="2" t="s">
        <v>194</v>
      </c>
      <c r="B58" s="15">
        <f>-B36</f>
        <v>-15534801</v>
      </c>
      <c r="C58" s="15">
        <f t="shared" ref="C58:N58" si="27">-C36</f>
        <v>-14919715</v>
      </c>
      <c r="D58" s="15">
        <f t="shared" si="27"/>
        <v>-13297504</v>
      </c>
      <c r="E58" s="15">
        <f t="shared" si="27"/>
        <v>-13165384</v>
      </c>
      <c r="F58" s="15">
        <f t="shared" si="27"/>
        <v>-12127290</v>
      </c>
      <c r="G58" s="15">
        <f t="shared" si="27"/>
        <v>-11266964</v>
      </c>
      <c r="H58" s="15">
        <f t="shared" si="27"/>
        <v>-10387231</v>
      </c>
      <c r="I58" s="15">
        <f t="shared" si="27"/>
        <v>-9227000</v>
      </c>
      <c r="J58" s="15">
        <f t="shared" si="27"/>
        <v>-8212466</v>
      </c>
      <c r="K58" s="15">
        <f t="shared" si="27"/>
        <v>-7024506</v>
      </c>
      <c r="L58" s="15">
        <f t="shared" si="27"/>
        <v>-5672175</v>
      </c>
      <c r="M58" s="15">
        <f t="shared" si="27"/>
        <v>-4509752</v>
      </c>
      <c r="N58" s="15">
        <f t="shared" si="27"/>
        <v>-3881142</v>
      </c>
      <c r="O58" s="15"/>
      <c r="P58" s="15"/>
      <c r="Q58" s="15"/>
      <c r="R58" s="15"/>
    </row>
    <row r="59" spans="1:19" ht="20" thickBot="1" x14ac:dyDescent="0.3">
      <c r="A59" s="12" t="s">
        <v>196</v>
      </c>
      <c r="B59" s="17">
        <f>SUM(B54:B58)</f>
        <v>399873</v>
      </c>
      <c r="C59" s="17">
        <f t="shared" ref="C59:N59" si="28">SUM(C54:C58)</f>
        <v>397016</v>
      </c>
      <c r="D59" s="17">
        <f t="shared" si="28"/>
        <v>246078</v>
      </c>
      <c r="E59" s="17">
        <f t="shared" si="28"/>
        <v>443205</v>
      </c>
      <c r="F59" s="17">
        <f t="shared" si="28"/>
        <v>356822</v>
      </c>
      <c r="G59" s="17">
        <f t="shared" si="28"/>
        <v>312749</v>
      </c>
      <c r="H59" s="17">
        <f t="shared" si="28"/>
        <v>255485</v>
      </c>
      <c r="I59" s="17">
        <f t="shared" si="28"/>
        <v>352971</v>
      </c>
      <c r="J59" s="17">
        <f t="shared" si="28"/>
        <v>258997</v>
      </c>
      <c r="K59" s="17">
        <f t="shared" si="28"/>
        <v>158703</v>
      </c>
      <c r="L59" s="17">
        <f t="shared" si="28"/>
        <v>265115</v>
      </c>
      <c r="M59" s="17">
        <f t="shared" si="28"/>
        <v>480072</v>
      </c>
      <c r="N59" s="17">
        <f t="shared" si="28"/>
        <v>467966</v>
      </c>
      <c r="O59" s="15"/>
      <c r="P59" s="15"/>
      <c r="Q59" s="15"/>
      <c r="R59" s="15"/>
    </row>
    <row r="60" spans="1:19" ht="20" thickTop="1" x14ac:dyDescent="0.25">
      <c r="B60" s="15"/>
      <c r="C60" s="15"/>
      <c r="D60" s="15"/>
      <c r="E60" s="15"/>
      <c r="F60" s="15"/>
      <c r="G60" s="15"/>
      <c r="H60" s="15"/>
      <c r="I60" s="15"/>
      <c r="J60" s="22"/>
      <c r="L60" s="15"/>
      <c r="M60" s="15"/>
      <c r="N60" s="15"/>
      <c r="O60" s="15"/>
      <c r="P60" s="15"/>
      <c r="Q60" s="15"/>
      <c r="R60" s="15"/>
    </row>
    <row r="61" spans="1:19" x14ac:dyDescent="0.25">
      <c r="B61" s="15"/>
      <c r="C61" s="15"/>
      <c r="D61" s="15"/>
      <c r="E61" s="15"/>
      <c r="F61" s="15"/>
      <c r="G61" s="15"/>
      <c r="H61" s="15"/>
      <c r="I61" s="15"/>
      <c r="J61" s="20"/>
      <c r="L61" s="15"/>
      <c r="M61" s="15"/>
      <c r="N61" s="15"/>
      <c r="O61" s="15"/>
      <c r="P61" s="15"/>
      <c r="Q61" s="15"/>
      <c r="R61" s="15"/>
    </row>
    <row r="62" spans="1:19" x14ac:dyDescent="0.25">
      <c r="A62" s="12" t="s">
        <v>214</v>
      </c>
      <c r="B62" s="15"/>
      <c r="C62" s="15"/>
      <c r="D62" s="15"/>
      <c r="E62" s="15"/>
      <c r="F62" s="15"/>
      <c r="G62" s="15"/>
      <c r="H62" s="15"/>
      <c r="I62" s="15"/>
      <c r="J62" s="15"/>
      <c r="L62" s="15"/>
      <c r="M62" s="15"/>
      <c r="N62" s="15"/>
      <c r="O62" s="15"/>
      <c r="P62" s="15"/>
      <c r="Q62" s="15"/>
      <c r="R62" s="15"/>
    </row>
    <row r="63" spans="1:19" x14ac:dyDescent="0.25">
      <c r="A63" s="12" t="s">
        <v>210</v>
      </c>
      <c r="B63" s="15"/>
      <c r="C63" s="15"/>
      <c r="D63" s="15"/>
      <c r="E63" s="15"/>
      <c r="F63" s="15"/>
      <c r="G63" s="15"/>
      <c r="H63" s="15"/>
      <c r="I63" s="15"/>
      <c r="J63" s="15"/>
      <c r="L63" s="15"/>
      <c r="M63" s="15"/>
      <c r="N63" s="15"/>
      <c r="O63" s="15"/>
      <c r="P63" s="15"/>
      <c r="Q63" s="15"/>
      <c r="R63" s="15"/>
    </row>
    <row r="64" spans="1:19" x14ac:dyDescent="0.25">
      <c r="A64" s="2" t="s">
        <v>206</v>
      </c>
      <c r="B64" s="15">
        <f>B6</f>
        <v>56772</v>
      </c>
      <c r="C64" s="15">
        <f t="shared" ref="C64:L64" si="29">C6</f>
        <v>102716</v>
      </c>
      <c r="D64" s="15">
        <f t="shared" si="29"/>
        <v>132319</v>
      </c>
      <c r="E64" s="15">
        <f t="shared" si="29"/>
        <v>58211</v>
      </c>
      <c r="F64" s="15">
        <f t="shared" si="29"/>
        <v>46938</v>
      </c>
      <c r="G64" s="15">
        <f t="shared" si="29"/>
        <v>44525</v>
      </c>
      <c r="H64" s="15">
        <f t="shared" si="29"/>
        <v>38416</v>
      </c>
      <c r="I64" s="15">
        <f t="shared" si="29"/>
        <v>37394</v>
      </c>
      <c r="J64" s="15">
        <f t="shared" si="29"/>
        <v>27606</v>
      </c>
      <c r="K64" s="15">
        <f t="shared" si="29"/>
        <v>627901</v>
      </c>
      <c r="L64" s="15">
        <f t="shared" si="29"/>
        <v>449364</v>
      </c>
      <c r="M64" s="15"/>
      <c r="N64" s="15"/>
      <c r="O64" s="15"/>
      <c r="P64" s="15"/>
      <c r="Q64" s="15"/>
      <c r="R64" s="15"/>
    </row>
    <row r="65" spans="1:18" x14ac:dyDescent="0.25">
      <c r="A65" s="2" t="s">
        <v>207</v>
      </c>
      <c r="B65" s="15">
        <f>B7</f>
        <v>533253</v>
      </c>
      <c r="C65" s="15">
        <f t="shared" ref="C65:L65" si="30">C7</f>
        <v>548099</v>
      </c>
      <c r="D65" s="15">
        <f t="shared" si="30"/>
        <v>496415</v>
      </c>
      <c r="E65" s="15">
        <f t="shared" si="30"/>
        <v>481043</v>
      </c>
      <c r="F65" s="15">
        <f t="shared" si="30"/>
        <v>440669</v>
      </c>
      <c r="G65" s="15">
        <f t="shared" si="30"/>
        <v>399442</v>
      </c>
      <c r="H65" s="15">
        <f t="shared" si="30"/>
        <v>380353</v>
      </c>
      <c r="I65" s="15">
        <f t="shared" si="30"/>
        <v>343829</v>
      </c>
      <c r="J65" s="15">
        <f t="shared" si="30"/>
        <v>294122</v>
      </c>
      <c r="K65" s="15">
        <f t="shared" si="30"/>
        <v>259299</v>
      </c>
      <c r="L65" s="15">
        <f t="shared" si="30"/>
        <v>224287</v>
      </c>
      <c r="M65" s="15"/>
      <c r="N65" s="15"/>
      <c r="O65" s="15"/>
      <c r="P65" s="15"/>
      <c r="Q65" s="15"/>
      <c r="R65" s="15"/>
    </row>
    <row r="66" spans="1:18" x14ac:dyDescent="0.25">
      <c r="A66" s="2" t="s">
        <v>208</v>
      </c>
      <c r="B66" s="15">
        <f>B11</f>
        <v>4671685</v>
      </c>
      <c r="C66" s="15">
        <f t="shared" ref="C66:L66" si="31">C11</f>
        <v>5124569</v>
      </c>
      <c r="D66" s="15">
        <f t="shared" si="31"/>
        <v>3157159</v>
      </c>
      <c r="E66" s="15">
        <f t="shared" si="31"/>
        <v>2846416</v>
      </c>
      <c r="F66" s="15">
        <f t="shared" si="31"/>
        <v>2519455</v>
      </c>
      <c r="G66" s="15">
        <f t="shared" si="31"/>
        <v>2390694</v>
      </c>
      <c r="H66" s="15">
        <f t="shared" si="31"/>
        <v>2260563</v>
      </c>
      <c r="I66" s="15">
        <f t="shared" si="31"/>
        <v>1932029</v>
      </c>
      <c r="J66" s="15">
        <f t="shared" si="31"/>
        <v>2086874</v>
      </c>
      <c r="K66" s="15">
        <f t="shared" si="31"/>
        <v>1641424</v>
      </c>
      <c r="L66" s="15">
        <f t="shared" si="31"/>
        <v>1517813</v>
      </c>
      <c r="M66" s="15"/>
      <c r="N66" s="15"/>
      <c r="O66" s="15"/>
      <c r="P66" s="15"/>
      <c r="Q66" s="15"/>
      <c r="R66" s="15"/>
    </row>
    <row r="67" spans="1:18" x14ac:dyDescent="0.25">
      <c r="A67" s="2" t="s">
        <v>209</v>
      </c>
      <c r="B67" s="15">
        <f>B8+B12+B13</f>
        <v>610749</v>
      </c>
      <c r="C67" s="15">
        <f t="shared" ref="C67:L67" si="32">C8+C12+C13</f>
        <v>773906</v>
      </c>
      <c r="D67" s="15">
        <f t="shared" si="32"/>
        <v>330903</v>
      </c>
      <c r="E67" s="15">
        <f t="shared" si="32"/>
        <v>278017</v>
      </c>
      <c r="F67" s="15">
        <f t="shared" si="32"/>
        <v>206951</v>
      </c>
      <c r="G67" s="15">
        <f t="shared" si="32"/>
        <v>226783</v>
      </c>
      <c r="H67" s="15">
        <f t="shared" si="32"/>
        <v>194298</v>
      </c>
      <c r="I67" s="15">
        <f t="shared" si="32"/>
        <v>158529</v>
      </c>
      <c r="J67" s="15">
        <f t="shared" si="32"/>
        <v>182336</v>
      </c>
      <c r="K67" s="15">
        <f t="shared" si="32"/>
        <v>114600</v>
      </c>
      <c r="L67" s="15">
        <f t="shared" si="32"/>
        <v>118667</v>
      </c>
      <c r="M67" s="15"/>
      <c r="N67" s="15"/>
      <c r="O67" s="15"/>
      <c r="P67" s="15"/>
      <c r="Q67" s="15"/>
      <c r="R67" s="15"/>
    </row>
    <row r="68" spans="1:18" x14ac:dyDescent="0.25">
      <c r="A68" s="2" t="s">
        <v>211</v>
      </c>
      <c r="B68" s="18">
        <f>SUM(B64:B67)</f>
        <v>5872459</v>
      </c>
      <c r="C68" s="18">
        <f t="shared" ref="C68:K68" si="33">SUM(C64:C67)</f>
        <v>6549290</v>
      </c>
      <c r="D68" s="18">
        <f t="shared" si="33"/>
        <v>4116796</v>
      </c>
      <c r="E68" s="18">
        <f t="shared" si="33"/>
        <v>3663687</v>
      </c>
      <c r="F68" s="18">
        <f t="shared" si="33"/>
        <v>3214013</v>
      </c>
      <c r="G68" s="18">
        <f t="shared" si="33"/>
        <v>3061444</v>
      </c>
      <c r="H68" s="18">
        <f t="shared" si="33"/>
        <v>2873630</v>
      </c>
      <c r="I68" s="18">
        <f t="shared" si="33"/>
        <v>2471781</v>
      </c>
      <c r="J68" s="18">
        <f t="shared" si="33"/>
        <v>2590938</v>
      </c>
      <c r="K68" s="18">
        <f t="shared" si="33"/>
        <v>2643224</v>
      </c>
      <c r="L68" s="18">
        <f>SUM(L64:L67)</f>
        <v>2310131</v>
      </c>
      <c r="M68" s="15"/>
      <c r="N68" s="15"/>
      <c r="O68" s="15"/>
      <c r="P68" s="15"/>
      <c r="Q68" s="15"/>
      <c r="R68" s="15"/>
    </row>
    <row r="69" spans="1:18" x14ac:dyDescent="0.25">
      <c r="A69" s="2" t="s">
        <v>27</v>
      </c>
      <c r="B69" s="15">
        <f>B15</f>
        <v>15961213</v>
      </c>
      <c r="C69" s="15">
        <f t="shared" ref="C69:L69" si="34">C15</f>
        <v>15289701</v>
      </c>
      <c r="D69" s="15">
        <f t="shared" si="34"/>
        <v>13489819</v>
      </c>
      <c r="E69" s="15">
        <f t="shared" si="34"/>
        <v>13551711</v>
      </c>
      <c r="F69" s="15">
        <f t="shared" si="34"/>
        <v>12428487</v>
      </c>
      <c r="G69" s="15">
        <f t="shared" si="34"/>
        <v>11535704</v>
      </c>
      <c r="H69" s="15">
        <f t="shared" si="34"/>
        <v>10596076</v>
      </c>
      <c r="I69" s="15">
        <f t="shared" si="34"/>
        <v>9536892</v>
      </c>
      <c r="J69" s="15">
        <f t="shared" si="34"/>
        <v>8435504</v>
      </c>
      <c r="K69" s="15">
        <f t="shared" si="34"/>
        <v>7147848</v>
      </c>
      <c r="L69" s="15">
        <f t="shared" si="34"/>
        <v>5895918</v>
      </c>
      <c r="M69" s="15"/>
      <c r="N69" s="15"/>
      <c r="O69" s="15"/>
      <c r="P69" s="15"/>
      <c r="Q69" s="15"/>
      <c r="R69" s="15"/>
    </row>
    <row r="70" spans="1:18" x14ac:dyDescent="0.25">
      <c r="A70" s="2" t="s">
        <v>28</v>
      </c>
      <c r="B70" s="15">
        <f>B16</f>
        <v>3312605</v>
      </c>
      <c r="C70" s="15">
        <f t="shared" ref="C70:L70" si="35">C16</f>
        <v>3209068</v>
      </c>
      <c r="D70" s="15">
        <f t="shared" si="35"/>
        <v>3055563</v>
      </c>
      <c r="E70" s="15">
        <f t="shared" si="35"/>
        <v>3069102</v>
      </c>
      <c r="F70" s="15">
        <f t="shared" si="35"/>
        <v>2828058</v>
      </c>
      <c r="G70" s="15">
        <f t="shared" si="35"/>
        <v>2667061</v>
      </c>
      <c r="H70" s="15">
        <f t="shared" si="35"/>
        <v>2518393</v>
      </c>
      <c r="I70" s="15">
        <f t="shared" si="35"/>
        <v>2161698</v>
      </c>
      <c r="J70" s="15">
        <f t="shared" si="35"/>
        <v>1862538</v>
      </c>
      <c r="K70" s="15">
        <f t="shared" si="35"/>
        <v>1652977</v>
      </c>
      <c r="L70" s="15">
        <f t="shared" si="35"/>
        <v>1428970</v>
      </c>
      <c r="M70" s="15"/>
      <c r="N70" s="15"/>
      <c r="O70" s="15"/>
      <c r="P70" s="15"/>
      <c r="Q70" s="15"/>
      <c r="R70" s="15"/>
    </row>
    <row r="71" spans="1:18" x14ac:dyDescent="0.25">
      <c r="A71" s="2" t="s">
        <v>212</v>
      </c>
      <c r="B71" s="15">
        <f>SUM(B17:B20)</f>
        <v>1324266</v>
      </c>
      <c r="C71" s="15">
        <f t="shared" ref="C71:L71" si="36">SUM(C17:C20)</f>
        <v>1290205</v>
      </c>
      <c r="D71" s="15">
        <f t="shared" si="36"/>
        <v>879363</v>
      </c>
      <c r="E71" s="15">
        <f t="shared" si="36"/>
        <v>797682</v>
      </c>
      <c r="F71" s="15">
        <f t="shared" si="36"/>
        <v>247309</v>
      </c>
      <c r="G71" s="15">
        <f t="shared" si="36"/>
        <v>222063</v>
      </c>
      <c r="H71" s="15">
        <f t="shared" si="36"/>
        <v>291257</v>
      </c>
      <c r="I71" s="15">
        <f t="shared" si="36"/>
        <v>311205</v>
      </c>
      <c r="J71" s="15">
        <f t="shared" si="36"/>
        <v>309221</v>
      </c>
      <c r="K71" s="15">
        <f t="shared" si="36"/>
        <v>263108</v>
      </c>
      <c r="L71" s="15">
        <f t="shared" si="36"/>
        <v>253583</v>
      </c>
      <c r="M71" s="15"/>
      <c r="N71" s="15"/>
      <c r="O71" s="15"/>
      <c r="P71" s="15"/>
      <c r="Q71" s="15"/>
      <c r="R71" s="15"/>
    </row>
    <row r="72" spans="1:18" ht="20" thickBot="1" x14ac:dyDescent="0.3">
      <c r="A72" s="12" t="s">
        <v>213</v>
      </c>
      <c r="B72" s="17">
        <f>SUM(B68:B71)</f>
        <v>26470543</v>
      </c>
      <c r="C72" s="17">
        <f t="shared" ref="C72:L72" si="37">SUM(C68:C71)</f>
        <v>26338264</v>
      </c>
      <c r="D72" s="17">
        <f t="shared" si="37"/>
        <v>21541541</v>
      </c>
      <c r="E72" s="17">
        <f t="shared" si="37"/>
        <v>21082182</v>
      </c>
      <c r="F72" s="17">
        <f t="shared" si="37"/>
        <v>18717867</v>
      </c>
      <c r="G72" s="17">
        <f t="shared" si="37"/>
        <v>17486272</v>
      </c>
      <c r="H72" s="17">
        <f t="shared" si="37"/>
        <v>16279356</v>
      </c>
      <c r="I72" s="17">
        <f t="shared" si="37"/>
        <v>14481576</v>
      </c>
      <c r="J72" s="17">
        <f t="shared" si="37"/>
        <v>13198201</v>
      </c>
      <c r="K72" s="17">
        <f t="shared" si="37"/>
        <v>11707157</v>
      </c>
      <c r="L72" s="17">
        <f t="shared" si="37"/>
        <v>9888602</v>
      </c>
      <c r="M72" s="15"/>
      <c r="N72" s="15"/>
      <c r="O72" s="15"/>
      <c r="P72" s="15"/>
      <c r="Q72" s="15"/>
      <c r="R72" s="15"/>
    </row>
    <row r="73" spans="1:18" ht="20" thickTop="1" x14ac:dyDescent="0.25">
      <c r="A73" s="12" t="s">
        <v>215</v>
      </c>
      <c r="B73" s="15"/>
      <c r="C73" s="15"/>
      <c r="D73" s="15"/>
      <c r="E73" s="15"/>
      <c r="F73" s="15"/>
      <c r="G73" s="15"/>
      <c r="H73" s="15"/>
      <c r="I73" s="15"/>
      <c r="J73" s="15"/>
      <c r="K73" s="15"/>
      <c r="L73" s="15"/>
      <c r="M73" s="15"/>
      <c r="N73" s="15"/>
      <c r="O73" s="15"/>
      <c r="P73" s="15"/>
      <c r="Q73" s="15"/>
      <c r="R73" s="15"/>
    </row>
    <row r="74" spans="1:18" x14ac:dyDescent="0.25">
      <c r="A74" s="2" t="s">
        <v>216</v>
      </c>
      <c r="B74" s="15">
        <f>B33</f>
        <v>2132189</v>
      </c>
      <c r="C74" s="15">
        <f t="shared" ref="C74:L74" si="38">C33</f>
        <v>2047457</v>
      </c>
      <c r="D74" s="15">
        <f t="shared" si="38"/>
        <v>1698548</v>
      </c>
      <c r="E74" s="15">
        <f t="shared" si="38"/>
        <v>1534707</v>
      </c>
      <c r="F74" s="15">
        <f t="shared" si="38"/>
        <v>1311509</v>
      </c>
      <c r="G74" s="15">
        <f t="shared" si="38"/>
        <v>1174058</v>
      </c>
      <c r="H74" s="15">
        <f t="shared" si="38"/>
        <v>1105787</v>
      </c>
      <c r="I74" s="15">
        <f t="shared" si="38"/>
        <v>1005193</v>
      </c>
      <c r="J74" s="15">
        <f t="shared" si="38"/>
        <v>997173</v>
      </c>
      <c r="K74" s="15">
        <f t="shared" si="38"/>
        <v>875497</v>
      </c>
      <c r="L74" s="15">
        <f t="shared" si="38"/>
        <v>684173</v>
      </c>
      <c r="M74" s="15"/>
      <c r="N74" s="15"/>
      <c r="O74" s="15"/>
      <c r="P74" s="15"/>
      <c r="Q74" s="15"/>
      <c r="R74" s="15"/>
    </row>
    <row r="75" spans="1:18" x14ac:dyDescent="0.25">
      <c r="A75" s="2" t="s">
        <v>38</v>
      </c>
      <c r="B75" s="15">
        <f>B34</f>
        <v>2511417</v>
      </c>
      <c r="C75" s="15">
        <f t="shared" ref="C75:L75" si="39">C34</f>
        <v>3255304</v>
      </c>
      <c r="D75" s="15">
        <f t="shared" si="39"/>
        <v>1322415</v>
      </c>
      <c r="E75" s="15">
        <f t="shared" si="39"/>
        <v>1778672</v>
      </c>
      <c r="F75" s="15">
        <f t="shared" si="39"/>
        <v>1163795</v>
      </c>
      <c r="G75" s="15">
        <f t="shared" si="39"/>
        <v>995479</v>
      </c>
      <c r="H75" s="15">
        <f t="shared" si="39"/>
        <v>952562</v>
      </c>
      <c r="I75" s="15">
        <f t="shared" si="39"/>
        <v>715000</v>
      </c>
      <c r="J75" s="15">
        <f t="shared" si="39"/>
        <v>300000</v>
      </c>
      <c r="K75" s="15">
        <f t="shared" si="39"/>
        <v>0</v>
      </c>
      <c r="L75" s="15">
        <f t="shared" si="39"/>
        <v>0</v>
      </c>
      <c r="M75" s="15"/>
      <c r="N75" s="15"/>
      <c r="O75" s="15"/>
      <c r="P75" s="15"/>
      <c r="Q75" s="15"/>
      <c r="R75" s="15"/>
    </row>
    <row r="76" spans="1:18" x14ac:dyDescent="0.25">
      <c r="A76" s="2" t="s">
        <v>40</v>
      </c>
      <c r="B76" s="15">
        <f>B36</f>
        <v>15534801</v>
      </c>
      <c r="C76" s="15">
        <f t="shared" ref="C76:L76" si="40">C36</f>
        <v>14919715</v>
      </c>
      <c r="D76" s="15">
        <f t="shared" si="40"/>
        <v>13297504</v>
      </c>
      <c r="E76" s="15">
        <f t="shared" si="40"/>
        <v>13165384</v>
      </c>
      <c r="F76" s="15">
        <f t="shared" si="40"/>
        <v>12127290</v>
      </c>
      <c r="G76" s="15">
        <f t="shared" si="40"/>
        <v>11266964</v>
      </c>
      <c r="H76" s="15">
        <f t="shared" si="40"/>
        <v>10387231</v>
      </c>
      <c r="I76" s="15">
        <f t="shared" si="40"/>
        <v>9227000</v>
      </c>
      <c r="J76" s="15">
        <f t="shared" si="40"/>
        <v>8212466</v>
      </c>
      <c r="K76" s="15">
        <f t="shared" si="40"/>
        <v>7024506</v>
      </c>
      <c r="L76" s="15">
        <f t="shared" si="40"/>
        <v>5672175</v>
      </c>
      <c r="M76" s="15"/>
      <c r="N76" s="15"/>
      <c r="O76" s="15"/>
      <c r="P76" s="15"/>
      <c r="Q76" s="15"/>
      <c r="R76" s="15"/>
    </row>
    <row r="77" spans="1:18" x14ac:dyDescent="0.25">
      <c r="A77" s="2" t="s">
        <v>41</v>
      </c>
      <c r="B77" s="61">
        <f>B35+B37+B38</f>
        <v>877909</v>
      </c>
      <c r="C77" s="61">
        <f t="shared" ref="C77:L77" si="41">C35+C37+C38</f>
        <v>880349</v>
      </c>
      <c r="D77" s="61">
        <f t="shared" si="41"/>
        <v>858461</v>
      </c>
      <c r="E77" s="61">
        <f t="shared" si="41"/>
        <v>834544</v>
      </c>
      <c r="F77" s="61">
        <f t="shared" si="41"/>
        <v>758245</v>
      </c>
      <c r="G77" s="61">
        <f t="shared" si="41"/>
        <v>732922</v>
      </c>
      <c r="H77" s="61">
        <f t="shared" si="41"/>
        <v>725196</v>
      </c>
      <c r="I77" s="61">
        <f t="shared" si="41"/>
        <v>629597</v>
      </c>
      <c r="J77" s="61">
        <f t="shared" si="41"/>
        <v>531777</v>
      </c>
      <c r="K77" s="61">
        <f t="shared" si="41"/>
        <v>490157</v>
      </c>
      <c r="L77" s="61">
        <f t="shared" si="41"/>
        <v>513087</v>
      </c>
    </row>
    <row r="78" spans="1:18" x14ac:dyDescent="0.25">
      <c r="A78" s="2" t="s">
        <v>217</v>
      </c>
      <c r="B78" s="91">
        <f>SUM(B74:B77)</f>
        <v>21056316</v>
      </c>
      <c r="C78" s="91">
        <f t="shared" ref="C78:L78" si="42">SUM(C74:C77)</f>
        <v>21102825</v>
      </c>
      <c r="D78" s="91">
        <f t="shared" si="42"/>
        <v>17176928</v>
      </c>
      <c r="E78" s="91">
        <f t="shared" si="42"/>
        <v>17313307</v>
      </c>
      <c r="F78" s="91">
        <f t="shared" si="42"/>
        <v>15360839</v>
      </c>
      <c r="G78" s="91">
        <f t="shared" si="42"/>
        <v>14169423</v>
      </c>
      <c r="H78" s="91">
        <f t="shared" si="42"/>
        <v>13170776</v>
      </c>
      <c r="I78" s="91">
        <f t="shared" si="42"/>
        <v>11576790</v>
      </c>
      <c r="J78" s="91">
        <f t="shared" si="42"/>
        <v>10041416</v>
      </c>
      <c r="K78" s="91">
        <f t="shared" si="42"/>
        <v>8390160</v>
      </c>
      <c r="L78" s="91">
        <f t="shared" si="42"/>
        <v>6869435</v>
      </c>
    </row>
    <row r="79" spans="1:18" x14ac:dyDescent="0.25">
      <c r="A79" s="2" t="s">
        <v>45</v>
      </c>
      <c r="B79" s="61">
        <f>B45</f>
        <v>5414227</v>
      </c>
      <c r="C79" s="61">
        <f t="shared" ref="C79:L79" si="43">C45</f>
        <v>5235439</v>
      </c>
      <c r="D79" s="61">
        <f t="shared" si="43"/>
        <v>4364613</v>
      </c>
      <c r="E79" s="61">
        <f t="shared" si="43"/>
        <v>3768875</v>
      </c>
      <c r="F79" s="61">
        <f t="shared" si="43"/>
        <v>3357028</v>
      </c>
      <c r="G79" s="61">
        <f t="shared" si="43"/>
        <v>3316849</v>
      </c>
      <c r="H79" s="61">
        <f t="shared" si="43"/>
        <v>3108580</v>
      </c>
      <c r="I79" s="61">
        <f t="shared" si="43"/>
        <v>2904786</v>
      </c>
      <c r="J79" s="61">
        <f t="shared" si="43"/>
        <v>3156785</v>
      </c>
      <c r="K79" s="61">
        <f t="shared" si="43"/>
        <v>3316997</v>
      </c>
      <c r="L79" s="61">
        <f t="shared" si="43"/>
        <v>3019167</v>
      </c>
    </row>
    <row r="80" spans="1:18" ht="20" thickBot="1" x14ac:dyDescent="0.3">
      <c r="A80" s="12" t="s">
        <v>218</v>
      </c>
      <c r="B80" s="92">
        <f>SUM(B78:B79)</f>
        <v>26470543</v>
      </c>
      <c r="C80" s="92">
        <f t="shared" ref="C80:L80" si="44">SUM(C78:C79)</f>
        <v>26338264</v>
      </c>
      <c r="D80" s="92">
        <f t="shared" si="44"/>
        <v>21541541</v>
      </c>
      <c r="E80" s="92">
        <f t="shared" si="44"/>
        <v>21082182</v>
      </c>
      <c r="F80" s="92">
        <f t="shared" si="44"/>
        <v>18717867</v>
      </c>
      <c r="G80" s="92">
        <f t="shared" si="44"/>
        <v>17486272</v>
      </c>
      <c r="H80" s="92">
        <f t="shared" si="44"/>
        <v>16279356</v>
      </c>
      <c r="I80" s="92">
        <f t="shared" si="44"/>
        <v>14481576</v>
      </c>
      <c r="J80" s="92">
        <f t="shared" si="44"/>
        <v>13198201</v>
      </c>
      <c r="K80" s="92">
        <f t="shared" si="44"/>
        <v>11707157</v>
      </c>
      <c r="L80" s="92">
        <f t="shared" si="44"/>
        <v>9888602</v>
      </c>
    </row>
    <row r="81" spans="1:12" ht="20" thickTop="1" x14ac:dyDescent="0.25">
      <c r="B81" s="61"/>
      <c r="C81" s="61"/>
      <c r="D81" s="61"/>
      <c r="E81" s="61"/>
      <c r="F81" s="61"/>
      <c r="G81" s="61"/>
      <c r="H81" s="61"/>
      <c r="I81" s="61"/>
      <c r="J81" s="61"/>
      <c r="K81" s="61"/>
      <c r="L81" s="61"/>
    </row>
    <row r="82" spans="1:12" x14ac:dyDescent="0.25">
      <c r="A82" s="2" t="s">
        <v>10</v>
      </c>
      <c r="B82" s="15">
        <f>B48</f>
        <v>158043.981</v>
      </c>
      <c r="C82" s="15">
        <v>161053.98300000001</v>
      </c>
      <c r="D82" s="15">
        <v>163172.33300000001</v>
      </c>
      <c r="E82" s="15">
        <v>163081.37599999999</v>
      </c>
      <c r="F82" s="15">
        <v>167478.924</v>
      </c>
      <c r="G82" s="15">
        <v>179747.894</v>
      </c>
      <c r="H82" s="15">
        <v>186548.60200000001</v>
      </c>
      <c r="I82" s="15">
        <v>194712.234</v>
      </c>
      <c r="J82" s="15">
        <v>208869.68799999999</v>
      </c>
      <c r="K82" s="14">
        <v>221685.984</v>
      </c>
      <c r="L82" s="15">
        <v>225906.10800000001</v>
      </c>
    </row>
    <row r="83" spans="1:12" x14ac:dyDescent="0.25">
      <c r="A83" s="2" t="s">
        <v>11</v>
      </c>
      <c r="B83" s="20">
        <f>B79/B82</f>
        <v>34.257723487742311</v>
      </c>
      <c r="C83" s="20">
        <f t="shared" ref="C83:L83" si="45">C79/C82</f>
        <v>32.507355002825356</v>
      </c>
      <c r="D83" s="20">
        <f t="shared" si="45"/>
        <v>26.748486828339946</v>
      </c>
      <c r="E83" s="20">
        <f t="shared" si="45"/>
        <v>23.110394898801935</v>
      </c>
      <c r="F83" s="20">
        <f t="shared" si="45"/>
        <v>20.044480343090811</v>
      </c>
      <c r="G83" s="20">
        <f t="shared" si="45"/>
        <v>18.452783652641848</v>
      </c>
      <c r="H83" s="20">
        <f t="shared" si="45"/>
        <v>16.663646720869018</v>
      </c>
      <c r="I83" s="20">
        <f t="shared" si="45"/>
        <v>14.918353820541137</v>
      </c>
      <c r="J83" s="20">
        <f t="shared" si="45"/>
        <v>15.113657851588307</v>
      </c>
      <c r="K83" s="20">
        <f t="shared" si="45"/>
        <v>14.962592312556847</v>
      </c>
      <c r="L83" s="20">
        <f t="shared" si="45"/>
        <v>13.364698399389891</v>
      </c>
    </row>
    <row r="84" spans="1:12" x14ac:dyDescent="0.25">
      <c r="A84" s="2" t="s">
        <v>48</v>
      </c>
      <c r="B84" s="93">
        <f>B50</f>
        <v>-1.8689398075923402E-2</v>
      </c>
      <c r="C84" s="93">
        <f t="shared" ref="C84:L84" si="46">C50</f>
        <v>-1.298228664782286E-2</v>
      </c>
      <c r="D84" s="93">
        <f t="shared" si="46"/>
        <v>5.5773995922159258E-4</v>
      </c>
      <c r="E84" s="93">
        <f t="shared" si="46"/>
        <v>-2.6257321786949173E-2</v>
      </c>
      <c r="F84" s="93">
        <f t="shared" si="46"/>
        <v>-6.825654380128654E-2</v>
      </c>
      <c r="G84" s="93">
        <f t="shared" si="46"/>
        <v>-3.6455421949503575E-2</v>
      </c>
      <c r="H84" s="93">
        <f t="shared" si="46"/>
        <v>-4.1926651614505039E-2</v>
      </c>
      <c r="I84" s="93">
        <f t="shared" si="46"/>
        <v>-6.7781276141897662E-2</v>
      </c>
      <c r="J84" s="93">
        <f t="shared" si="46"/>
        <v>-5.7812838541926093E-2</v>
      </c>
      <c r="K84" s="93">
        <f t="shared" si="46"/>
        <v>-1.8680876038995819E-2</v>
      </c>
      <c r="L84" s="93">
        <f t="shared" si="46"/>
        <v>-5.3388742605594564E-3</v>
      </c>
    </row>
    <row r="87" spans="1:12" x14ac:dyDescent="0.25">
      <c r="B87" s="61"/>
      <c r="C87" s="61"/>
      <c r="D87" s="61"/>
      <c r="E87" s="61"/>
      <c r="F87" s="61"/>
      <c r="G87" s="61"/>
      <c r="H87" s="61"/>
      <c r="I87" s="61"/>
      <c r="J87" s="61"/>
      <c r="K87" s="61"/>
      <c r="L87" s="61"/>
    </row>
    <row r="88" spans="1:12" x14ac:dyDescent="0.25">
      <c r="B88" s="61"/>
      <c r="C88" s="61"/>
      <c r="D88" s="61"/>
      <c r="E88" s="61"/>
      <c r="F88" s="61"/>
      <c r="G88" s="61"/>
      <c r="H88" s="61"/>
      <c r="I88" s="61"/>
      <c r="J88" s="61"/>
      <c r="K88" s="61"/>
      <c r="L88" s="61"/>
    </row>
  </sheetData>
  <mergeCells count="3">
    <mergeCell ref="O36:S36"/>
    <mergeCell ref="O15:S15"/>
    <mergeCell ref="C1:S1"/>
  </mergeCells>
  <pageMargins left="0.7" right="0.7" top="0.75" bottom="0.75" header="0.3" footer="0.3"/>
  <pageSetup orientation="portrait" r:id="rId1"/>
  <ignoredErrors>
    <ignoredError sqref="B71:L71" formulaRange="1"/>
    <ignoredError sqref="B8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84"/>
  <sheetViews>
    <sheetView workbookViewId="0">
      <pane ySplit="4" topLeftCell="A5" activePane="bottomLeft" state="frozen"/>
      <selection pane="bottomLeft"/>
    </sheetView>
  </sheetViews>
  <sheetFormatPr baseColWidth="10" defaultColWidth="9.1640625" defaultRowHeight="19" x14ac:dyDescent="0.25"/>
  <cols>
    <col min="1" max="1" width="52" style="2" bestFit="1" customWidth="1"/>
    <col min="2" max="3" width="13.1640625" style="2" bestFit="1" customWidth="1"/>
    <col min="4" max="9" width="13.1640625" style="2" customWidth="1"/>
    <col min="10" max="12" width="13.1640625" style="2" bestFit="1" customWidth="1"/>
    <col min="13" max="13" width="13.1640625" style="14" bestFit="1" customWidth="1"/>
    <col min="14" max="14" width="13.1640625" style="2" bestFit="1" customWidth="1"/>
    <col min="15" max="20" width="12" style="2" bestFit="1" customWidth="1"/>
    <col min="21" max="16384" width="9.1640625" style="2"/>
  </cols>
  <sheetData>
    <row r="1" spans="1:20" ht="21" x14ac:dyDescent="0.25">
      <c r="A1" s="86" t="s">
        <v>52</v>
      </c>
      <c r="B1" s="12"/>
      <c r="C1" s="12"/>
      <c r="D1" s="12"/>
      <c r="E1" s="12"/>
      <c r="F1" s="12"/>
      <c r="G1" s="12"/>
      <c r="H1" s="12"/>
      <c r="I1" s="12"/>
      <c r="J1" s="12"/>
      <c r="K1" s="12"/>
      <c r="L1" s="12"/>
    </row>
    <row r="2" spans="1:20" x14ac:dyDescent="0.25">
      <c r="A2" s="3" t="s">
        <v>233</v>
      </c>
      <c r="B2" s="3"/>
      <c r="C2" s="3"/>
      <c r="D2" s="3"/>
      <c r="E2" s="3"/>
      <c r="F2" s="3"/>
      <c r="G2" s="3"/>
      <c r="H2" s="3"/>
      <c r="I2" s="3"/>
      <c r="J2" s="3"/>
      <c r="K2" s="23"/>
      <c r="L2" s="23"/>
    </row>
    <row r="3" spans="1:20" x14ac:dyDescent="0.25">
      <c r="A3" s="24"/>
      <c r="B3" s="100" t="s">
        <v>235</v>
      </c>
      <c r="C3" s="101"/>
      <c r="D3" s="106" t="s">
        <v>53</v>
      </c>
      <c r="E3" s="107"/>
      <c r="F3" s="107"/>
      <c r="G3" s="107"/>
      <c r="H3" s="107"/>
      <c r="I3" s="107"/>
      <c r="J3" s="107"/>
      <c r="K3" s="107"/>
      <c r="L3" s="107"/>
      <c r="M3" s="107"/>
      <c r="N3" s="1"/>
      <c r="O3" s="1"/>
      <c r="P3" s="1"/>
      <c r="Q3" s="1"/>
      <c r="R3" s="1"/>
      <c r="S3" s="1"/>
      <c r="T3" s="1"/>
    </row>
    <row r="4" spans="1:20" s="12" customFormat="1" x14ac:dyDescent="0.25">
      <c r="A4" s="25" t="s">
        <v>4</v>
      </c>
      <c r="B4" s="8">
        <v>44804</v>
      </c>
      <c r="C4" s="26">
        <v>44439</v>
      </c>
      <c r="D4" s="6">
        <v>2022</v>
      </c>
      <c r="E4" s="6">
        <v>2021</v>
      </c>
      <c r="F4" s="6">
        <v>2020</v>
      </c>
      <c r="G4" s="6">
        <v>2019</v>
      </c>
      <c r="H4" s="6">
        <v>2018</v>
      </c>
      <c r="I4" s="6">
        <v>2017</v>
      </c>
      <c r="J4" s="6">
        <v>2016</v>
      </c>
      <c r="K4" s="6">
        <v>2015</v>
      </c>
      <c r="L4" s="6">
        <v>2014</v>
      </c>
      <c r="M4" s="6">
        <v>2013</v>
      </c>
      <c r="N4" s="6">
        <v>2012</v>
      </c>
      <c r="O4" s="6">
        <v>2011</v>
      </c>
      <c r="P4" s="7">
        <v>2010</v>
      </c>
      <c r="Q4" s="6">
        <v>2009</v>
      </c>
      <c r="R4" s="6">
        <v>2008</v>
      </c>
      <c r="S4" s="6">
        <v>2007</v>
      </c>
      <c r="T4" s="6">
        <v>2006</v>
      </c>
    </row>
    <row r="5" spans="1:20" x14ac:dyDescent="0.25">
      <c r="A5" s="12" t="s">
        <v>54</v>
      </c>
      <c r="B5" s="27"/>
      <c r="C5" s="28"/>
      <c r="D5" s="27"/>
      <c r="E5" s="27"/>
      <c r="F5" s="27"/>
      <c r="G5" s="27"/>
      <c r="H5" s="27"/>
      <c r="I5" s="27"/>
      <c r="J5" s="13"/>
      <c r="K5" s="13"/>
      <c r="L5" s="13"/>
      <c r="M5" s="29"/>
      <c r="N5" s="29"/>
      <c r="O5" s="29"/>
      <c r="P5" s="29"/>
      <c r="Q5" s="29"/>
      <c r="R5" s="13"/>
      <c r="S5" s="13"/>
      <c r="T5" s="13"/>
    </row>
    <row r="6" spans="1:20" x14ac:dyDescent="0.25">
      <c r="A6" s="2" t="s">
        <v>55</v>
      </c>
      <c r="B6" s="15">
        <v>13298575</v>
      </c>
      <c r="C6" s="30">
        <v>12261710</v>
      </c>
      <c r="D6" s="15">
        <v>24437095</v>
      </c>
      <c r="E6" s="15">
        <v>15713583</v>
      </c>
      <c r="F6" s="15">
        <v>17169462</v>
      </c>
      <c r="G6" s="15">
        <v>15172772</v>
      </c>
      <c r="H6" s="15">
        <v>14392360</v>
      </c>
      <c r="I6" s="15">
        <v>13270662</v>
      </c>
      <c r="J6" s="15">
        <v>12439401</v>
      </c>
      <c r="K6" s="15">
        <v>11674520</v>
      </c>
      <c r="L6" s="15">
        <v>10306256</v>
      </c>
      <c r="M6" s="14">
        <v>8746965</v>
      </c>
      <c r="N6" s="14">
        <v>7826911</v>
      </c>
      <c r="O6" s="14">
        <v>7210017</v>
      </c>
      <c r="P6" s="14">
        <v>6192278</v>
      </c>
      <c r="Q6" s="14">
        <v>5690658</v>
      </c>
      <c r="R6" s="15">
        <v>6589342</v>
      </c>
      <c r="S6" s="15">
        <v>5872816</v>
      </c>
      <c r="T6" s="15">
        <v>4771325</v>
      </c>
    </row>
    <row r="7" spans="1:20" x14ac:dyDescent="0.25">
      <c r="A7" s="2" t="s">
        <v>65</v>
      </c>
      <c r="B7" s="15">
        <v>0</v>
      </c>
      <c r="C7" s="30">
        <v>0</v>
      </c>
      <c r="D7" s="15">
        <v>0</v>
      </c>
      <c r="E7" s="15">
        <v>0</v>
      </c>
      <c r="F7" s="15">
        <v>0</v>
      </c>
      <c r="G7" s="15">
        <v>0</v>
      </c>
      <c r="H7" s="15">
        <v>0</v>
      </c>
      <c r="I7" s="15">
        <v>0</v>
      </c>
      <c r="J7" s="15">
        <v>0</v>
      </c>
      <c r="K7" s="15">
        <v>240004</v>
      </c>
      <c r="L7" s="15">
        <v>212036</v>
      </c>
      <c r="M7" s="14">
        <v>207726</v>
      </c>
      <c r="N7" s="14">
        <v>200584</v>
      </c>
      <c r="O7" s="14">
        <v>198532</v>
      </c>
      <c r="P7" s="14">
        <v>186481</v>
      </c>
      <c r="Q7" s="14">
        <v>261940</v>
      </c>
      <c r="R7" s="15">
        <v>370603</v>
      </c>
      <c r="S7" s="15">
        <v>445144</v>
      </c>
      <c r="T7" s="15">
        <v>502805</v>
      </c>
    </row>
    <row r="8" spans="1:20" x14ac:dyDescent="0.25">
      <c r="A8" s="2" t="s">
        <v>56</v>
      </c>
      <c r="B8" s="15">
        <v>3806843</v>
      </c>
      <c r="C8" s="30">
        <v>3075929</v>
      </c>
      <c r="D8" s="15">
        <v>6763813</v>
      </c>
      <c r="E8" s="15">
        <v>2668753</v>
      </c>
      <c r="F8" s="15">
        <v>2500042</v>
      </c>
      <c r="G8" s="15">
        <v>2392992</v>
      </c>
      <c r="H8" s="15">
        <v>2181156</v>
      </c>
      <c r="I8" s="15">
        <v>2082464</v>
      </c>
      <c r="J8" s="15">
        <v>2188267</v>
      </c>
      <c r="K8" s="15">
        <v>2049133</v>
      </c>
      <c r="L8" s="15">
        <v>1823425</v>
      </c>
      <c r="M8" s="14">
        <v>1759555</v>
      </c>
      <c r="N8" s="14">
        <v>1721647</v>
      </c>
      <c r="O8" s="14">
        <v>1301703</v>
      </c>
      <c r="P8" s="14">
        <v>844868</v>
      </c>
      <c r="Q8" s="14">
        <v>779785</v>
      </c>
      <c r="R8" s="15">
        <v>985048</v>
      </c>
      <c r="S8" s="15">
        <v>918408</v>
      </c>
      <c r="T8" s="15">
        <v>778268</v>
      </c>
    </row>
    <row r="9" spans="1:20" x14ac:dyDescent="0.25">
      <c r="A9" s="2" t="s">
        <v>57</v>
      </c>
      <c r="B9" s="15">
        <v>351006</v>
      </c>
      <c r="C9" s="30">
        <v>348319</v>
      </c>
      <c r="D9" s="15">
        <v>699504</v>
      </c>
      <c r="E9" s="15">
        <v>567813</v>
      </c>
      <c r="F9" s="15">
        <v>650483</v>
      </c>
      <c r="G9" s="15">
        <v>607336</v>
      </c>
      <c r="H9" s="15">
        <v>546693</v>
      </c>
      <c r="I9" s="15">
        <v>521992</v>
      </c>
      <c r="J9" s="15">
        <v>522007</v>
      </c>
      <c r="K9" s="15">
        <v>305059</v>
      </c>
      <c r="L9" s="15">
        <v>232582</v>
      </c>
      <c r="M9" s="14">
        <v>248572</v>
      </c>
      <c r="N9" s="14">
        <v>254457</v>
      </c>
      <c r="O9" s="14">
        <v>265302</v>
      </c>
      <c r="P9" s="14">
        <v>246566</v>
      </c>
      <c r="Q9" s="14">
        <v>241583</v>
      </c>
      <c r="R9" s="15">
        <v>254578</v>
      </c>
      <c r="S9" s="15">
        <v>229288</v>
      </c>
      <c r="T9" s="15">
        <v>207569</v>
      </c>
    </row>
    <row r="10" spans="1:20" x14ac:dyDescent="0.25">
      <c r="A10" s="12" t="s">
        <v>58</v>
      </c>
      <c r="B10" s="19">
        <f>SUM(B6:B9)</f>
        <v>17456424</v>
      </c>
      <c r="C10" s="31">
        <f t="shared" ref="C10:T10" si="0">SUM(C6:C9)</f>
        <v>15685958</v>
      </c>
      <c r="D10" s="19">
        <f t="shared" ref="D10:I10" si="1">SUM(D6:D9)</f>
        <v>31900412</v>
      </c>
      <c r="E10" s="19">
        <f t="shared" si="1"/>
        <v>18950149</v>
      </c>
      <c r="F10" s="19">
        <f t="shared" si="1"/>
        <v>20319987</v>
      </c>
      <c r="G10" s="19">
        <f t="shared" si="1"/>
        <v>18173100</v>
      </c>
      <c r="H10" s="19">
        <f t="shared" si="1"/>
        <v>17120209</v>
      </c>
      <c r="I10" s="19">
        <f t="shared" si="1"/>
        <v>15875118</v>
      </c>
      <c r="J10" s="19">
        <f t="shared" si="0"/>
        <v>15149675</v>
      </c>
      <c r="K10" s="19">
        <f t="shared" si="0"/>
        <v>14268716</v>
      </c>
      <c r="L10" s="19">
        <f t="shared" si="0"/>
        <v>12574299</v>
      </c>
      <c r="M10" s="19">
        <f t="shared" si="0"/>
        <v>10962818</v>
      </c>
      <c r="N10" s="19">
        <f t="shared" si="0"/>
        <v>10003599</v>
      </c>
      <c r="O10" s="19">
        <f t="shared" si="0"/>
        <v>8975554</v>
      </c>
      <c r="P10" s="19">
        <f t="shared" si="0"/>
        <v>7470193</v>
      </c>
      <c r="Q10" s="19">
        <f t="shared" si="0"/>
        <v>6973966</v>
      </c>
      <c r="R10" s="19">
        <f t="shared" si="0"/>
        <v>8199571</v>
      </c>
      <c r="S10" s="19">
        <f t="shared" si="0"/>
        <v>7465656</v>
      </c>
      <c r="T10" s="19">
        <f t="shared" si="0"/>
        <v>6259967</v>
      </c>
    </row>
    <row r="11" spans="1:20" x14ac:dyDescent="0.25">
      <c r="A11" s="12" t="s">
        <v>165</v>
      </c>
      <c r="B11" s="27"/>
      <c r="C11" s="28"/>
      <c r="D11" s="27"/>
      <c r="E11" s="27"/>
      <c r="F11" s="27"/>
      <c r="G11" s="27"/>
      <c r="H11" s="27"/>
      <c r="I11" s="27"/>
      <c r="J11" s="27"/>
      <c r="K11" s="27"/>
      <c r="L11" s="27"/>
      <c r="M11" s="27"/>
      <c r="N11" s="27"/>
      <c r="O11" s="27"/>
      <c r="P11" s="27"/>
      <c r="Q11" s="27"/>
      <c r="R11" s="27"/>
      <c r="S11" s="27"/>
      <c r="T11" s="27"/>
    </row>
    <row r="12" spans="1:20" x14ac:dyDescent="0.25">
      <c r="A12" s="2" t="s">
        <v>166</v>
      </c>
      <c r="B12" s="43">
        <v>12240108</v>
      </c>
      <c r="C12" s="30">
        <v>11158179</v>
      </c>
      <c r="D12" s="43">
        <v>22398651</v>
      </c>
      <c r="E12" s="43">
        <v>14124715</v>
      </c>
      <c r="F12" s="43">
        <v>15349401</v>
      </c>
      <c r="G12" s="43">
        <v>13544033</v>
      </c>
      <c r="H12" s="43">
        <v>12824741</v>
      </c>
      <c r="I12" s="43">
        <v>11818951</v>
      </c>
      <c r="J12" s="43">
        <v>11100763</v>
      </c>
      <c r="K12" s="102">
        <v>12381189</v>
      </c>
      <c r="L12" s="102">
        <v>10925598</v>
      </c>
      <c r="M12" s="104">
        <v>9498456</v>
      </c>
      <c r="N12" s="104">
        <v>8624838</v>
      </c>
      <c r="O12" s="104">
        <v>7674326</v>
      </c>
      <c r="P12" s="104">
        <v>6371323</v>
      </c>
      <c r="Q12" s="104">
        <v>6005796</v>
      </c>
      <c r="R12" s="102">
        <v>7127146</v>
      </c>
      <c r="S12" s="102">
        <v>6494594</v>
      </c>
      <c r="T12" s="102">
        <v>5469253</v>
      </c>
    </row>
    <row r="13" spans="1:20" x14ac:dyDescent="0.25">
      <c r="A13" s="2" t="s">
        <v>167</v>
      </c>
      <c r="B13" s="43">
        <v>3474519</v>
      </c>
      <c r="C13" s="30">
        <v>2701072</v>
      </c>
      <c r="D13" s="43">
        <v>5999277</v>
      </c>
      <c r="E13" s="43">
        <v>2245431</v>
      </c>
      <c r="F13" s="43">
        <v>2045680</v>
      </c>
      <c r="G13" s="43">
        <v>1961959</v>
      </c>
      <c r="H13" s="43">
        <v>1788704</v>
      </c>
      <c r="I13" s="43">
        <v>1719821</v>
      </c>
      <c r="J13" s="43">
        <v>1800167</v>
      </c>
      <c r="K13" s="102"/>
      <c r="L13" s="102"/>
      <c r="M13" s="104"/>
      <c r="N13" s="104"/>
      <c r="O13" s="104"/>
      <c r="P13" s="104"/>
      <c r="Q13" s="104"/>
      <c r="R13" s="102"/>
      <c r="S13" s="102"/>
      <c r="T13" s="102"/>
    </row>
    <row r="14" spans="1:20" x14ac:dyDescent="0.25">
      <c r="A14" s="2" t="s">
        <v>168</v>
      </c>
      <c r="B14" s="15">
        <v>129261</v>
      </c>
      <c r="C14" s="30">
        <v>86714</v>
      </c>
      <c r="D14" s="15">
        <v>214942</v>
      </c>
      <c r="E14" s="15">
        <v>200878</v>
      </c>
      <c r="F14" s="15">
        <v>202566</v>
      </c>
      <c r="G14" s="15">
        <v>186517</v>
      </c>
      <c r="H14" s="15">
        <v>177905</v>
      </c>
      <c r="I14" s="15">
        <v>153052</v>
      </c>
      <c r="J14" s="15">
        <v>229985</v>
      </c>
      <c r="K14" s="103"/>
      <c r="L14" s="103"/>
      <c r="M14" s="105"/>
      <c r="N14" s="105"/>
      <c r="O14" s="105"/>
      <c r="P14" s="105"/>
      <c r="Q14" s="105"/>
      <c r="R14" s="103"/>
      <c r="S14" s="103"/>
      <c r="T14" s="103"/>
    </row>
    <row r="15" spans="1:20" x14ac:dyDescent="0.25">
      <c r="A15" s="2" t="s">
        <v>164</v>
      </c>
      <c r="B15" s="63">
        <f>SUM(B12:B14)</f>
        <v>15843888</v>
      </c>
      <c r="C15" s="64">
        <f t="shared" ref="C15:T15" si="2">SUM(C12:C14)</f>
        <v>13945965</v>
      </c>
      <c r="D15" s="63">
        <f t="shared" si="2"/>
        <v>28612870</v>
      </c>
      <c r="E15" s="63">
        <f t="shared" si="2"/>
        <v>16571024</v>
      </c>
      <c r="F15" s="63">
        <f t="shared" si="2"/>
        <v>17597647</v>
      </c>
      <c r="G15" s="63">
        <f t="shared" si="2"/>
        <v>15692509</v>
      </c>
      <c r="H15" s="63">
        <f t="shared" si="2"/>
        <v>14791350</v>
      </c>
      <c r="I15" s="63">
        <f t="shared" si="2"/>
        <v>13691824</v>
      </c>
      <c r="J15" s="63">
        <f t="shared" si="2"/>
        <v>13130915</v>
      </c>
      <c r="K15" s="63">
        <f t="shared" si="2"/>
        <v>12381189</v>
      </c>
      <c r="L15" s="63">
        <f t="shared" si="2"/>
        <v>10925598</v>
      </c>
      <c r="M15" s="63">
        <f t="shared" si="2"/>
        <v>9498456</v>
      </c>
      <c r="N15" s="63">
        <f t="shared" si="2"/>
        <v>8624838</v>
      </c>
      <c r="O15" s="63">
        <f t="shared" si="2"/>
        <v>7674326</v>
      </c>
      <c r="P15" s="63">
        <f t="shared" si="2"/>
        <v>6371323</v>
      </c>
      <c r="Q15" s="63">
        <f t="shared" si="2"/>
        <v>6005796</v>
      </c>
      <c r="R15" s="63">
        <f t="shared" si="2"/>
        <v>7127146</v>
      </c>
      <c r="S15" s="63">
        <f t="shared" si="2"/>
        <v>6494594</v>
      </c>
      <c r="T15" s="63">
        <f t="shared" si="2"/>
        <v>5469253</v>
      </c>
    </row>
    <row r="16" spans="1:20" x14ac:dyDescent="0.25">
      <c r="A16" s="12" t="s">
        <v>12</v>
      </c>
      <c r="B16" s="19">
        <f>B10-B15</f>
        <v>1612536</v>
      </c>
      <c r="C16" s="31">
        <f t="shared" ref="C16:T16" si="3">C10-C15</f>
        <v>1739993</v>
      </c>
      <c r="D16" s="19">
        <f t="shared" si="3"/>
        <v>3287542</v>
      </c>
      <c r="E16" s="19">
        <f t="shared" si="3"/>
        <v>2379125</v>
      </c>
      <c r="F16" s="19">
        <f t="shared" si="3"/>
        <v>2722340</v>
      </c>
      <c r="G16" s="19">
        <f t="shared" si="3"/>
        <v>2480591</v>
      </c>
      <c r="H16" s="19">
        <f t="shared" si="3"/>
        <v>2328859</v>
      </c>
      <c r="I16" s="19">
        <f t="shared" si="3"/>
        <v>2183294</v>
      </c>
      <c r="J16" s="19">
        <f t="shared" si="3"/>
        <v>2018760</v>
      </c>
      <c r="K16" s="19">
        <f t="shared" si="3"/>
        <v>1887527</v>
      </c>
      <c r="L16" s="19">
        <f t="shared" si="3"/>
        <v>1648701</v>
      </c>
      <c r="M16" s="19">
        <f t="shared" si="3"/>
        <v>1464362</v>
      </c>
      <c r="N16" s="19">
        <f t="shared" si="3"/>
        <v>1378761</v>
      </c>
      <c r="O16" s="19">
        <f t="shared" si="3"/>
        <v>1301228</v>
      </c>
      <c r="P16" s="19">
        <f t="shared" si="3"/>
        <v>1098870</v>
      </c>
      <c r="Q16" s="19">
        <f t="shared" si="3"/>
        <v>968170</v>
      </c>
      <c r="R16" s="19">
        <f t="shared" si="3"/>
        <v>1072425</v>
      </c>
      <c r="S16" s="19">
        <f t="shared" si="3"/>
        <v>971062</v>
      </c>
      <c r="T16" s="19">
        <f t="shared" si="3"/>
        <v>790714</v>
      </c>
    </row>
    <row r="17" spans="1:20" x14ac:dyDescent="0.25">
      <c r="A17" s="33" t="s">
        <v>157</v>
      </c>
      <c r="B17" s="34">
        <v>387342</v>
      </c>
      <c r="C17" s="35">
        <v>441764</v>
      </c>
      <c r="D17" s="34">
        <v>801507</v>
      </c>
      <c r="E17" s="34">
        <v>562810</v>
      </c>
      <c r="F17" s="34">
        <v>456030</v>
      </c>
      <c r="G17" s="34">
        <v>438690</v>
      </c>
      <c r="H17" s="34">
        <v>421182</v>
      </c>
      <c r="I17" s="34">
        <v>368984</v>
      </c>
      <c r="J17" s="34">
        <v>392036</v>
      </c>
      <c r="K17" s="34">
        <v>367294</v>
      </c>
      <c r="L17" s="34">
        <v>336167</v>
      </c>
      <c r="M17" s="34">
        <v>299267</v>
      </c>
      <c r="N17" s="34">
        <v>262185</v>
      </c>
      <c r="O17" s="34">
        <v>219983</v>
      </c>
      <c r="P17" s="34">
        <v>175217</v>
      </c>
      <c r="Q17" s="34">
        <v>15286</v>
      </c>
      <c r="R17" s="34">
        <v>85865</v>
      </c>
      <c r="S17" s="34">
        <v>132625</v>
      </c>
      <c r="T17" s="34">
        <v>104327</v>
      </c>
    </row>
    <row r="18" spans="1:20" x14ac:dyDescent="0.25">
      <c r="A18" s="2" t="s">
        <v>59</v>
      </c>
      <c r="B18" s="15">
        <v>1322781</v>
      </c>
      <c r="C18" s="30">
        <v>1128355</v>
      </c>
      <c r="D18" s="15">
        <v>2325220</v>
      </c>
      <c r="E18" s="15">
        <v>1704419</v>
      </c>
      <c r="F18" s="15">
        <v>1750168</v>
      </c>
      <c r="G18" s="15">
        <v>1730275</v>
      </c>
      <c r="H18" s="15">
        <v>1617051</v>
      </c>
      <c r="I18" s="15">
        <v>1488504</v>
      </c>
      <c r="J18" s="15">
        <v>1351935</v>
      </c>
      <c r="K18" s="15">
        <v>1257725</v>
      </c>
      <c r="L18" s="15">
        <v>1155215</v>
      </c>
      <c r="M18" s="14">
        <v>1031034</v>
      </c>
      <c r="N18" s="14">
        <v>940786</v>
      </c>
      <c r="O18" s="14">
        <v>878805</v>
      </c>
      <c r="P18" s="14">
        <v>792201</v>
      </c>
      <c r="Q18" s="14">
        <v>882358</v>
      </c>
      <c r="R18" s="15">
        <v>858372</v>
      </c>
      <c r="S18" s="15">
        <v>776168</v>
      </c>
      <c r="T18" s="15">
        <v>674370</v>
      </c>
    </row>
    <row r="19" spans="1:20" x14ac:dyDescent="0.25">
      <c r="A19" s="2" t="s">
        <v>169</v>
      </c>
      <c r="B19" s="15">
        <v>113340</v>
      </c>
      <c r="C19" s="30">
        <v>102679</v>
      </c>
      <c r="D19" s="15">
        <v>211956</v>
      </c>
      <c r="E19" s="15">
        <v>194356</v>
      </c>
      <c r="F19" s="15">
        <v>189899</v>
      </c>
      <c r="G19" s="99" t="s">
        <v>170</v>
      </c>
      <c r="H19" s="99"/>
      <c r="I19" s="99"/>
      <c r="J19" s="99"/>
      <c r="K19" s="99"/>
      <c r="L19" s="99"/>
      <c r="M19" s="99"/>
      <c r="N19" s="87"/>
      <c r="O19" s="87"/>
      <c r="P19" s="87"/>
      <c r="Q19" s="87"/>
      <c r="R19" s="87"/>
      <c r="S19" s="87"/>
      <c r="T19" s="87"/>
    </row>
    <row r="20" spans="1:20" x14ac:dyDescent="0.25">
      <c r="A20" s="2" t="s">
        <v>3</v>
      </c>
      <c r="B20" s="15">
        <v>61520</v>
      </c>
      <c r="C20" s="30">
        <v>42944</v>
      </c>
      <c r="D20" s="15">
        <v>94095</v>
      </c>
      <c r="E20" s="15">
        <v>86178</v>
      </c>
      <c r="F20" s="15">
        <v>83007</v>
      </c>
      <c r="G20" s="15">
        <v>75792</v>
      </c>
      <c r="H20" s="15">
        <v>70745</v>
      </c>
      <c r="I20" s="15">
        <v>56416</v>
      </c>
      <c r="J20" s="15">
        <v>36358</v>
      </c>
      <c r="K20" s="15">
        <v>24473</v>
      </c>
      <c r="L20" s="15">
        <v>30834</v>
      </c>
      <c r="M20" s="14">
        <v>32357</v>
      </c>
      <c r="N20" s="14">
        <v>33714</v>
      </c>
      <c r="O20" s="14">
        <v>34680</v>
      </c>
      <c r="P20" s="14">
        <v>35994</v>
      </c>
      <c r="Q20" s="14">
        <f>6086-1786</f>
        <v>4300</v>
      </c>
      <c r="R20" s="15">
        <f>4955-1366</f>
        <v>3589</v>
      </c>
      <c r="S20" s="15">
        <f>5373-1203</f>
        <v>4170</v>
      </c>
      <c r="T20" s="15">
        <f>4093-1023</f>
        <v>3070</v>
      </c>
    </row>
    <row r="21" spans="1:20" x14ac:dyDescent="0.25">
      <c r="A21" s="2" t="s">
        <v>66</v>
      </c>
      <c r="B21" s="15">
        <v>-1940</v>
      </c>
      <c r="C21" s="30">
        <v>-27359</v>
      </c>
      <c r="D21" s="15">
        <v>-34568</v>
      </c>
      <c r="E21" s="15">
        <v>-8275</v>
      </c>
      <c r="F21" s="15">
        <v>-5690</v>
      </c>
      <c r="G21" s="15">
        <v>408</v>
      </c>
      <c r="H21" s="15">
        <v>-1363</v>
      </c>
      <c r="I21" s="15">
        <v>953</v>
      </c>
      <c r="J21" s="15">
        <v>12559</v>
      </c>
      <c r="K21" s="15">
        <v>3292</v>
      </c>
      <c r="L21" s="15">
        <v>1497</v>
      </c>
      <c r="M21" s="14">
        <v>-1113</v>
      </c>
      <c r="N21" s="14">
        <v>-464</v>
      </c>
      <c r="O21" s="14">
        <v>-480</v>
      </c>
      <c r="P21" s="14">
        <v>-560</v>
      </c>
      <c r="Q21" s="14">
        <v>0</v>
      </c>
      <c r="R21" s="15">
        <v>-740</v>
      </c>
      <c r="S21" s="15">
        <v>0</v>
      </c>
      <c r="T21" s="15">
        <v>0</v>
      </c>
    </row>
    <row r="22" spans="1:20" x14ac:dyDescent="0.25">
      <c r="A22" s="2" t="s">
        <v>60</v>
      </c>
      <c r="B22" s="18">
        <f>B16+B17-SUM(B18:B21)</f>
        <v>504177</v>
      </c>
      <c r="C22" s="32">
        <f t="shared" ref="C22:T22" si="4">C16+C17-SUM(C18:C21)</f>
        <v>935138</v>
      </c>
      <c r="D22" s="18">
        <f t="shared" ref="D22:I22" si="5">D16+D17-SUM(D18:D21)</f>
        <v>1492346</v>
      </c>
      <c r="E22" s="18">
        <f t="shared" si="5"/>
        <v>965257</v>
      </c>
      <c r="F22" s="18">
        <f t="shared" si="5"/>
        <v>1160986</v>
      </c>
      <c r="G22" s="18">
        <f t="shared" si="5"/>
        <v>1112806</v>
      </c>
      <c r="H22" s="18">
        <f t="shared" si="5"/>
        <v>1063608</v>
      </c>
      <c r="I22" s="18">
        <f t="shared" si="5"/>
        <v>1006405</v>
      </c>
      <c r="J22" s="18">
        <f t="shared" si="4"/>
        <v>1009944</v>
      </c>
      <c r="K22" s="18">
        <f t="shared" si="4"/>
        <v>969331</v>
      </c>
      <c r="L22" s="18">
        <f t="shared" si="4"/>
        <v>797322</v>
      </c>
      <c r="M22" s="18">
        <f t="shared" si="4"/>
        <v>701351</v>
      </c>
      <c r="N22" s="18">
        <f t="shared" si="4"/>
        <v>666910</v>
      </c>
      <c r="O22" s="18">
        <f t="shared" si="4"/>
        <v>608206</v>
      </c>
      <c r="P22" s="18">
        <f t="shared" si="4"/>
        <v>446452</v>
      </c>
      <c r="Q22" s="18">
        <f t="shared" si="4"/>
        <v>96798</v>
      </c>
      <c r="R22" s="18">
        <f t="shared" si="4"/>
        <v>297069</v>
      </c>
      <c r="S22" s="18">
        <f t="shared" si="4"/>
        <v>323349</v>
      </c>
      <c r="T22" s="18">
        <f t="shared" si="4"/>
        <v>217601</v>
      </c>
    </row>
    <row r="23" spans="1:20" x14ac:dyDescent="0.25">
      <c r="A23" s="2" t="s">
        <v>61</v>
      </c>
      <c r="B23" s="15">
        <v>126007</v>
      </c>
      <c r="C23" s="30">
        <v>213115</v>
      </c>
      <c r="D23" s="15">
        <v>341049</v>
      </c>
      <c r="E23" s="15">
        <v>218338</v>
      </c>
      <c r="F23" s="15">
        <v>272553</v>
      </c>
      <c r="G23" s="15">
        <v>270393</v>
      </c>
      <c r="H23" s="15">
        <v>399496</v>
      </c>
      <c r="I23" s="15">
        <v>379435</v>
      </c>
      <c r="J23" s="15">
        <v>386516</v>
      </c>
      <c r="K23" s="15">
        <v>371973</v>
      </c>
      <c r="L23" s="15">
        <v>304736</v>
      </c>
      <c r="M23" s="14">
        <v>267067</v>
      </c>
      <c r="N23" s="14">
        <v>253115</v>
      </c>
      <c r="O23" s="14">
        <v>230711</v>
      </c>
      <c r="P23" s="14">
        <v>168608</v>
      </c>
      <c r="Q23" s="14">
        <v>37585</v>
      </c>
      <c r="R23" s="15">
        <v>115044</v>
      </c>
      <c r="S23" s="15">
        <v>124752</v>
      </c>
      <c r="T23" s="15">
        <v>83381</v>
      </c>
    </row>
    <row r="24" spans="1:20" ht="20" thickBot="1" x14ac:dyDescent="0.3">
      <c r="A24" s="12" t="s">
        <v>62</v>
      </c>
      <c r="B24" s="17">
        <f>B22-B23</f>
        <v>378170</v>
      </c>
      <c r="C24" s="36">
        <f t="shared" ref="C24:T24" si="6">C22-C23</f>
        <v>722023</v>
      </c>
      <c r="D24" s="17">
        <f t="shared" ref="D24:I24" si="7">D22-D23</f>
        <v>1151297</v>
      </c>
      <c r="E24" s="17">
        <f t="shared" si="7"/>
        <v>746919</v>
      </c>
      <c r="F24" s="17">
        <f t="shared" si="7"/>
        <v>888433</v>
      </c>
      <c r="G24" s="17">
        <f t="shared" si="7"/>
        <v>842413</v>
      </c>
      <c r="H24" s="17">
        <f t="shared" si="7"/>
        <v>664112</v>
      </c>
      <c r="I24" s="17">
        <f t="shared" si="7"/>
        <v>626970</v>
      </c>
      <c r="J24" s="17">
        <f t="shared" si="6"/>
        <v>623428</v>
      </c>
      <c r="K24" s="17">
        <f t="shared" si="6"/>
        <v>597358</v>
      </c>
      <c r="L24" s="17">
        <f t="shared" si="6"/>
        <v>492586</v>
      </c>
      <c r="M24" s="17">
        <f t="shared" si="6"/>
        <v>434284</v>
      </c>
      <c r="N24" s="17">
        <f t="shared" si="6"/>
        <v>413795</v>
      </c>
      <c r="O24" s="17">
        <f t="shared" si="6"/>
        <v>377495</v>
      </c>
      <c r="P24" s="17">
        <f t="shared" si="6"/>
        <v>277844</v>
      </c>
      <c r="Q24" s="17">
        <f t="shared" si="6"/>
        <v>59213</v>
      </c>
      <c r="R24" s="17">
        <f t="shared" si="6"/>
        <v>182025</v>
      </c>
      <c r="S24" s="17">
        <f t="shared" si="6"/>
        <v>198597</v>
      </c>
      <c r="T24" s="17">
        <f t="shared" si="6"/>
        <v>134220</v>
      </c>
    </row>
    <row r="25" spans="1:20" ht="20" thickTop="1" x14ac:dyDescent="0.25">
      <c r="B25" s="15"/>
      <c r="C25" s="30"/>
      <c r="D25" s="43"/>
      <c r="E25" s="43"/>
      <c r="F25" s="43"/>
      <c r="G25" s="43"/>
      <c r="H25" s="43"/>
      <c r="I25" s="43"/>
      <c r="J25" s="15"/>
      <c r="K25" s="15"/>
      <c r="L25" s="15"/>
      <c r="N25" s="14"/>
      <c r="O25" s="14"/>
      <c r="P25" s="14"/>
      <c r="Q25" s="14"/>
      <c r="R25" s="15"/>
      <c r="S25" s="15"/>
      <c r="T25" s="15"/>
    </row>
    <row r="26" spans="1:20" x14ac:dyDescent="0.25">
      <c r="A26" s="2" t="s">
        <v>63</v>
      </c>
      <c r="B26" s="15">
        <v>161015</v>
      </c>
      <c r="C26" s="30">
        <v>165969</v>
      </c>
      <c r="D26" s="43">
        <v>165176</v>
      </c>
      <c r="E26" s="43">
        <v>165133</v>
      </c>
      <c r="F26" s="43">
        <v>166820</v>
      </c>
      <c r="G26" s="43">
        <v>175884</v>
      </c>
      <c r="H26" s="43">
        <v>184470</v>
      </c>
      <c r="I26" s="43">
        <v>192215</v>
      </c>
      <c r="J26" s="15">
        <v>205540</v>
      </c>
      <c r="K26" s="15">
        <v>218691</v>
      </c>
      <c r="L26" s="15">
        <v>227584</v>
      </c>
      <c r="M26" s="14">
        <v>231823</v>
      </c>
      <c r="N26" s="14">
        <v>230721</v>
      </c>
      <c r="O26" s="14">
        <v>227601</v>
      </c>
      <c r="P26" s="14">
        <v>222234</v>
      </c>
      <c r="Q26" s="14">
        <v>219357</v>
      </c>
      <c r="R26" s="15">
        <v>219963</v>
      </c>
      <c r="S26" s="15">
        <v>216739</v>
      </c>
      <c r="T26" s="15">
        <v>212846</v>
      </c>
    </row>
    <row r="27" spans="1:20" x14ac:dyDescent="0.25">
      <c r="A27" s="2" t="s">
        <v>64</v>
      </c>
      <c r="B27" s="20">
        <f t="shared" ref="B27:I27" si="8">B24/B26</f>
        <v>2.3486631680278234</v>
      </c>
      <c r="C27" s="37">
        <f t="shared" si="8"/>
        <v>4.3503485590682596</v>
      </c>
      <c r="D27" s="20">
        <f t="shared" si="8"/>
        <v>6.970122778127573</v>
      </c>
      <c r="E27" s="20">
        <f t="shared" si="8"/>
        <v>4.5231358965197748</v>
      </c>
      <c r="F27" s="20">
        <f t="shared" si="8"/>
        <v>5.3256983575110901</v>
      </c>
      <c r="G27" s="20">
        <f t="shared" si="8"/>
        <v>4.789594278046895</v>
      </c>
      <c r="H27" s="20">
        <f t="shared" si="8"/>
        <v>3.6001084187130701</v>
      </c>
      <c r="I27" s="20">
        <f t="shared" si="8"/>
        <v>3.2618161954061859</v>
      </c>
      <c r="J27" s="20">
        <f>J24/J26</f>
        <v>3.0331225065680645</v>
      </c>
      <c r="K27" s="20">
        <f t="shared" ref="K27:T27" si="9">K24/K26</f>
        <v>2.7315161575007658</v>
      </c>
      <c r="L27" s="20">
        <f t="shared" si="9"/>
        <v>2.1644140185601799</v>
      </c>
      <c r="M27" s="20">
        <f t="shared" si="9"/>
        <v>1.8733430246351743</v>
      </c>
      <c r="N27" s="20">
        <f t="shared" si="9"/>
        <v>1.7934865053462841</v>
      </c>
      <c r="O27" s="20">
        <v>1.65</v>
      </c>
      <c r="P27" s="20">
        <v>1.24</v>
      </c>
      <c r="Q27" s="20">
        <f t="shared" si="9"/>
        <v>0.26993895795438488</v>
      </c>
      <c r="R27" s="20">
        <v>0.82</v>
      </c>
      <c r="S27" s="20">
        <f t="shared" si="9"/>
        <v>0.91629563668744429</v>
      </c>
      <c r="T27" s="20">
        <f t="shared" si="9"/>
        <v>0.63059676949531585</v>
      </c>
    </row>
    <row r="28" spans="1:20" x14ac:dyDescent="0.25">
      <c r="B28" s="20"/>
      <c r="C28" s="30"/>
      <c r="D28" s="43"/>
      <c r="E28" s="43"/>
      <c r="F28" s="43"/>
      <c r="G28" s="43"/>
      <c r="H28" s="43"/>
      <c r="I28" s="43"/>
      <c r="J28" s="15"/>
      <c r="K28" s="15"/>
      <c r="L28" s="15"/>
      <c r="N28" s="14"/>
      <c r="O28" s="14"/>
      <c r="P28" s="14"/>
      <c r="Q28" s="14"/>
      <c r="R28" s="15"/>
      <c r="S28" s="15"/>
      <c r="T28" s="15"/>
    </row>
    <row r="29" spans="1:20" s="12" customFormat="1" x14ac:dyDescent="0.25">
      <c r="A29" s="12" t="s">
        <v>67</v>
      </c>
      <c r="B29" s="88">
        <f t="shared" ref="B29:T29" si="10">B16/B10</f>
        <v>9.2374933147819971E-2</v>
      </c>
      <c r="C29" s="89">
        <f t="shared" si="10"/>
        <v>0.11092679197534508</v>
      </c>
      <c r="D29" s="88">
        <f t="shared" si="10"/>
        <v>0.10305641193599631</v>
      </c>
      <c r="E29" s="88">
        <f t="shared" si="10"/>
        <v>0.12554650625702204</v>
      </c>
      <c r="F29" s="88">
        <f t="shared" si="10"/>
        <v>0.13397351090825008</v>
      </c>
      <c r="G29" s="88">
        <f t="shared" si="10"/>
        <v>0.13649795576979162</v>
      </c>
      <c r="H29" s="88">
        <f t="shared" si="10"/>
        <v>0.13602982300040847</v>
      </c>
      <c r="I29" s="88">
        <f t="shared" si="10"/>
        <v>0.13752930844356559</v>
      </c>
      <c r="J29" s="88">
        <f t="shared" si="10"/>
        <v>0.13325434374004722</v>
      </c>
      <c r="K29" s="88">
        <f t="shared" si="10"/>
        <v>0.13228429243388123</v>
      </c>
      <c r="L29" s="88">
        <f t="shared" si="10"/>
        <v>0.13111673263058243</v>
      </c>
      <c r="M29" s="88">
        <f t="shared" si="10"/>
        <v>0.13357532707375055</v>
      </c>
      <c r="N29" s="88">
        <f t="shared" si="10"/>
        <v>0.13782649624400178</v>
      </c>
      <c r="O29" s="88">
        <f t="shared" si="10"/>
        <v>0.1449746723154916</v>
      </c>
      <c r="P29" s="88">
        <f t="shared" si="10"/>
        <v>0.14710061707910357</v>
      </c>
      <c r="Q29" s="88">
        <f t="shared" si="10"/>
        <v>0.13882631489743424</v>
      </c>
      <c r="R29" s="88">
        <f t="shared" si="10"/>
        <v>0.13079037915520214</v>
      </c>
      <c r="S29" s="88">
        <f t="shared" si="10"/>
        <v>0.13007055240691509</v>
      </c>
      <c r="T29" s="88">
        <f t="shared" si="10"/>
        <v>0.1263128064413119</v>
      </c>
    </row>
    <row r="30" spans="1:20" s="12" customFormat="1" x14ac:dyDescent="0.25">
      <c r="A30" s="12" t="s">
        <v>68</v>
      </c>
      <c r="B30" s="88">
        <f t="shared" ref="B30:T30" si="11">B24/B10</f>
        <v>2.1663658032137625E-2</v>
      </c>
      <c r="C30" s="89">
        <f t="shared" si="11"/>
        <v>4.6029895018206729E-2</v>
      </c>
      <c r="D30" s="88">
        <f t="shared" si="11"/>
        <v>3.6090348927154924E-2</v>
      </c>
      <c r="E30" s="88">
        <f t="shared" si="11"/>
        <v>3.9414940747959287E-2</v>
      </c>
      <c r="F30" s="88">
        <f t="shared" si="11"/>
        <v>4.3722124428524488E-2</v>
      </c>
      <c r="G30" s="88">
        <f t="shared" si="11"/>
        <v>4.6354942194782395E-2</v>
      </c>
      <c r="H30" s="88">
        <f t="shared" si="11"/>
        <v>3.8791115225287262E-2</v>
      </c>
      <c r="I30" s="88">
        <f t="shared" si="11"/>
        <v>3.9493879667540109E-2</v>
      </c>
      <c r="J30" s="88">
        <f t="shared" si="11"/>
        <v>4.1151245818804694E-2</v>
      </c>
      <c r="K30" s="88">
        <f t="shared" si="11"/>
        <v>4.1864874176485115E-2</v>
      </c>
      <c r="L30" s="88">
        <f t="shared" si="11"/>
        <v>3.9174032683650994E-2</v>
      </c>
      <c r="M30" s="88">
        <f t="shared" si="11"/>
        <v>3.9614267061625942E-2</v>
      </c>
      <c r="N30" s="88">
        <f t="shared" si="11"/>
        <v>4.136461287582599E-2</v>
      </c>
      <c r="O30" s="88">
        <f t="shared" si="11"/>
        <v>4.2058128111089298E-2</v>
      </c>
      <c r="P30" s="88">
        <f t="shared" si="11"/>
        <v>3.7193684286336376E-2</v>
      </c>
      <c r="Q30" s="88">
        <f t="shared" si="11"/>
        <v>8.4905776712992289E-3</v>
      </c>
      <c r="R30" s="88">
        <f t="shared" si="11"/>
        <v>2.2199332135791006E-2</v>
      </c>
      <c r="S30" s="88">
        <f t="shared" si="11"/>
        <v>2.6601413191285533E-2</v>
      </c>
      <c r="T30" s="88">
        <f t="shared" si="11"/>
        <v>2.1441007596365923E-2</v>
      </c>
    </row>
    <row r="31" spans="1:20" x14ac:dyDescent="0.25">
      <c r="B31" s="15"/>
      <c r="C31" s="30"/>
      <c r="D31" s="15"/>
      <c r="E31" s="15"/>
      <c r="F31" s="15"/>
      <c r="G31" s="15"/>
      <c r="H31" s="15"/>
      <c r="I31" s="15"/>
      <c r="J31" s="15"/>
      <c r="K31" s="15"/>
      <c r="L31" s="15"/>
      <c r="N31" s="14"/>
      <c r="O31" s="14"/>
      <c r="P31" s="14"/>
      <c r="Q31" s="14"/>
      <c r="R31" s="15"/>
      <c r="S31" s="15"/>
      <c r="T31" s="15"/>
    </row>
    <row r="32" spans="1:20" x14ac:dyDescent="0.25">
      <c r="A32" s="2" t="s">
        <v>158</v>
      </c>
      <c r="B32" s="21">
        <f>B17/B22</f>
        <v>0.76826590661612881</v>
      </c>
      <c r="C32" s="40">
        <f t="shared" ref="C32:T32" si="12">C17/C22</f>
        <v>0.47240514234262748</v>
      </c>
      <c r="D32" s="21">
        <f t="shared" ref="D32:I32" si="13">D17/D22</f>
        <v>0.53707853272632489</v>
      </c>
      <c r="E32" s="21">
        <f t="shared" si="13"/>
        <v>0.58306751466189832</v>
      </c>
      <c r="F32" s="21">
        <f t="shared" si="13"/>
        <v>0.39279543422573571</v>
      </c>
      <c r="G32" s="21">
        <f t="shared" si="13"/>
        <v>0.39421965733470166</v>
      </c>
      <c r="H32" s="21">
        <f t="shared" si="13"/>
        <v>0.39599363675339033</v>
      </c>
      <c r="I32" s="21">
        <f t="shared" si="13"/>
        <v>0.36663569835205506</v>
      </c>
      <c r="J32" s="21">
        <f t="shared" si="12"/>
        <v>0.38817597807403181</v>
      </c>
      <c r="K32" s="21">
        <f t="shared" si="12"/>
        <v>0.37891494236746787</v>
      </c>
      <c r="L32" s="21">
        <f t="shared" si="12"/>
        <v>0.42162012336295751</v>
      </c>
      <c r="M32" s="21">
        <f t="shared" si="12"/>
        <v>0.42670075326049295</v>
      </c>
      <c r="N32" s="21">
        <f t="shared" si="12"/>
        <v>0.39313400608777799</v>
      </c>
      <c r="O32" s="21">
        <f t="shared" si="12"/>
        <v>0.36169159791254935</v>
      </c>
      <c r="P32" s="21">
        <f t="shared" si="12"/>
        <v>0.39246548341143056</v>
      </c>
      <c r="Q32" s="21">
        <f t="shared" si="12"/>
        <v>0.15791648587780741</v>
      </c>
      <c r="R32" s="21">
        <f t="shared" si="12"/>
        <v>0.28904059326284465</v>
      </c>
      <c r="S32" s="21">
        <f t="shared" si="12"/>
        <v>0.4101605386130775</v>
      </c>
      <c r="T32" s="21">
        <f t="shared" si="12"/>
        <v>0.47944173050675321</v>
      </c>
    </row>
    <row r="33" spans="1:20" x14ac:dyDescent="0.25">
      <c r="B33" s="15"/>
      <c r="C33" s="30"/>
      <c r="D33" s="15"/>
      <c r="E33" s="15"/>
      <c r="F33" s="15"/>
      <c r="G33" s="15"/>
      <c r="H33" s="15"/>
      <c r="I33" s="15"/>
      <c r="J33" s="15"/>
      <c r="K33" s="15"/>
      <c r="L33" s="15"/>
      <c r="N33" s="14"/>
      <c r="O33" s="14"/>
      <c r="P33" s="14"/>
      <c r="Q33" s="14"/>
      <c r="R33" s="15"/>
      <c r="S33" s="15"/>
      <c r="T33" s="15"/>
    </row>
    <row r="34" spans="1:20" x14ac:dyDescent="0.25">
      <c r="A34" s="2" t="s">
        <v>69</v>
      </c>
      <c r="B34" s="38">
        <f>(B18+B19)/B10</f>
        <v>8.2268911433406977E-2</v>
      </c>
      <c r="C34" s="39">
        <f>(C18+C19)/C10</f>
        <v>7.8480001030220792E-2</v>
      </c>
      <c r="D34" s="38">
        <f>(D18+D19)/D10</f>
        <v>7.9534270591865713E-2</v>
      </c>
      <c r="E34" s="38">
        <f>(E18+E19)/E10</f>
        <v>0.1001984206034475</v>
      </c>
      <c r="F34" s="38">
        <f>(F18+F19)/F10</f>
        <v>9.5475799270934567E-2</v>
      </c>
      <c r="G34" s="38">
        <f>(G18)/G10</f>
        <v>9.5210778568323509E-2</v>
      </c>
      <c r="H34" s="38">
        <f t="shared" ref="H34:T34" si="14">(H18)/H10</f>
        <v>9.4452760477398381E-2</v>
      </c>
      <c r="I34" s="38">
        <f t="shared" si="14"/>
        <v>9.3763334546552668E-2</v>
      </c>
      <c r="J34" s="38">
        <f t="shared" si="14"/>
        <v>8.9238548021657232E-2</v>
      </c>
      <c r="K34" s="38">
        <f t="shared" si="14"/>
        <v>8.8145632725467382E-2</v>
      </c>
      <c r="L34" s="38">
        <f t="shared" si="14"/>
        <v>9.1871125380428756E-2</v>
      </c>
      <c r="M34" s="38">
        <f t="shared" si="14"/>
        <v>9.4048263867921547E-2</v>
      </c>
      <c r="N34" s="38">
        <f t="shared" si="14"/>
        <v>9.4044753293289748E-2</v>
      </c>
      <c r="O34" s="38">
        <f t="shared" si="14"/>
        <v>9.7910947892464351E-2</v>
      </c>
      <c r="P34" s="38">
        <f t="shared" si="14"/>
        <v>0.10604826408099496</v>
      </c>
      <c r="Q34" s="38">
        <f t="shared" si="14"/>
        <v>0.12652169511580641</v>
      </c>
      <c r="R34" s="38">
        <f t="shared" si="14"/>
        <v>0.10468498900735172</v>
      </c>
      <c r="S34" s="38">
        <f t="shared" si="14"/>
        <v>0.10396514385340015</v>
      </c>
      <c r="T34" s="38">
        <f t="shared" si="14"/>
        <v>0.10772740495277371</v>
      </c>
    </row>
    <row r="35" spans="1:20" x14ac:dyDescent="0.25">
      <c r="B35" s="15"/>
      <c r="C35" s="30"/>
      <c r="D35" s="15"/>
      <c r="E35" s="15"/>
      <c r="F35" s="15"/>
      <c r="G35" s="15"/>
      <c r="H35" s="15"/>
      <c r="I35" s="15"/>
      <c r="J35" s="15"/>
      <c r="K35" s="15"/>
      <c r="L35" s="15"/>
      <c r="N35" s="14"/>
      <c r="O35" s="14"/>
      <c r="P35" s="14"/>
      <c r="Q35" s="14"/>
      <c r="R35" s="15"/>
      <c r="S35" s="15"/>
      <c r="T35" s="15"/>
    </row>
    <row r="36" spans="1:20" x14ac:dyDescent="0.25">
      <c r="A36" s="2" t="s">
        <v>70</v>
      </c>
      <c r="B36" s="21">
        <f>(B10/C10)-1</f>
        <v>0.11286948492403215</v>
      </c>
      <c r="C36" s="30"/>
      <c r="D36" s="21">
        <f t="shared" ref="D36:S36" si="15">(D10/E10)-1</f>
        <v>0.68338581401127763</v>
      </c>
      <c r="E36" s="21">
        <f t="shared" si="15"/>
        <v>-6.7413330530181947E-2</v>
      </c>
      <c r="F36" s="21">
        <f t="shared" si="15"/>
        <v>0.11813543093913537</v>
      </c>
      <c r="G36" s="21">
        <f t="shared" si="15"/>
        <v>6.1499891736134682E-2</v>
      </c>
      <c r="H36" s="21">
        <f t="shared" si="15"/>
        <v>7.8430346155537345E-2</v>
      </c>
      <c r="I36" s="21">
        <f t="shared" si="15"/>
        <v>4.7885053639764585E-2</v>
      </c>
      <c r="J36" s="21">
        <f t="shared" si="15"/>
        <v>6.1740593897867235E-2</v>
      </c>
      <c r="K36" s="21">
        <f t="shared" si="15"/>
        <v>0.13475240249973375</v>
      </c>
      <c r="L36" s="21">
        <f t="shared" si="15"/>
        <v>0.14699514303712791</v>
      </c>
      <c r="M36" s="21">
        <f t="shared" si="15"/>
        <v>9.5887390128292838E-2</v>
      </c>
      <c r="N36" s="21">
        <f t="shared" si="15"/>
        <v>0.11453833378975831</v>
      </c>
      <c r="O36" s="21">
        <f t="shared" si="15"/>
        <v>0.20151567703806306</v>
      </c>
      <c r="P36" s="21">
        <f t="shared" si="15"/>
        <v>7.1154204078425431E-2</v>
      </c>
      <c r="Q36" s="21">
        <f t="shared" si="15"/>
        <v>-0.1494718443196601</v>
      </c>
      <c r="R36" s="21">
        <f t="shared" si="15"/>
        <v>9.8305493850774806E-2</v>
      </c>
      <c r="S36" s="21">
        <f t="shared" si="15"/>
        <v>0.19260309199713044</v>
      </c>
      <c r="T36" s="15"/>
    </row>
    <row r="37" spans="1:20" x14ac:dyDescent="0.25">
      <c r="B37" s="15"/>
      <c r="C37" s="30"/>
      <c r="D37" s="43"/>
      <c r="E37" s="43"/>
      <c r="F37" s="43"/>
      <c r="G37" s="43"/>
      <c r="H37" s="43"/>
      <c r="I37" s="43"/>
      <c r="J37" s="15"/>
      <c r="K37" s="15"/>
      <c r="L37" s="15"/>
      <c r="N37" s="14"/>
      <c r="O37" s="14"/>
      <c r="P37" s="14"/>
      <c r="Q37" s="14"/>
      <c r="R37" s="15"/>
      <c r="S37" s="15"/>
      <c r="T37" s="15"/>
    </row>
    <row r="38" spans="1:20" x14ac:dyDescent="0.25">
      <c r="A38" s="12" t="s">
        <v>95</v>
      </c>
      <c r="B38" s="13">
        <v>231</v>
      </c>
      <c r="C38" s="28">
        <v>222</v>
      </c>
      <c r="D38" s="27">
        <v>230</v>
      </c>
      <c r="E38" s="27">
        <v>220</v>
      </c>
      <c r="F38" s="27">
        <v>216</v>
      </c>
      <c r="G38" s="27">
        <v>203</v>
      </c>
      <c r="H38" s="27">
        <v>188</v>
      </c>
      <c r="I38" s="27">
        <v>173</v>
      </c>
      <c r="J38" s="13">
        <v>158</v>
      </c>
      <c r="K38" s="13">
        <v>144</v>
      </c>
      <c r="L38" s="13">
        <v>131</v>
      </c>
      <c r="M38" s="29">
        <v>118</v>
      </c>
      <c r="N38" s="29">
        <v>108</v>
      </c>
      <c r="O38" s="29">
        <v>103</v>
      </c>
      <c r="P38" s="29">
        <v>100</v>
      </c>
      <c r="Q38" s="29">
        <v>100</v>
      </c>
      <c r="R38" s="13">
        <v>89</v>
      </c>
      <c r="S38" s="13">
        <v>77</v>
      </c>
      <c r="T38" s="13">
        <v>67</v>
      </c>
    </row>
    <row r="39" spans="1:20" x14ac:dyDescent="0.25">
      <c r="B39" s="15"/>
      <c r="C39" s="30"/>
      <c r="D39" s="43"/>
      <c r="E39" s="43"/>
      <c r="F39" s="43"/>
      <c r="G39" s="43"/>
      <c r="H39" s="43"/>
      <c r="I39" s="43"/>
      <c r="J39" s="15"/>
      <c r="K39" s="15"/>
      <c r="L39" s="15"/>
      <c r="N39" s="14"/>
      <c r="O39" s="14"/>
      <c r="P39" s="14"/>
      <c r="Q39" s="14"/>
      <c r="R39" s="15"/>
      <c r="S39" s="15"/>
      <c r="T39" s="15"/>
    </row>
    <row r="40" spans="1:20" x14ac:dyDescent="0.25">
      <c r="A40" s="12" t="s">
        <v>96</v>
      </c>
      <c r="B40" s="15"/>
      <c r="C40" s="30"/>
      <c r="D40" s="43"/>
      <c r="E40" s="43"/>
      <c r="F40" s="43"/>
      <c r="G40" s="43"/>
      <c r="H40" s="43"/>
      <c r="I40" s="43"/>
      <c r="J40" s="15"/>
      <c r="K40" s="15"/>
      <c r="L40" s="15"/>
      <c r="N40" s="14"/>
      <c r="O40" s="14"/>
      <c r="P40" s="14"/>
      <c r="Q40" s="14"/>
      <c r="R40" s="15"/>
      <c r="S40" s="15"/>
      <c r="T40" s="15"/>
    </row>
    <row r="41" spans="1:20" x14ac:dyDescent="0.25">
      <c r="A41" s="2" t="s">
        <v>104</v>
      </c>
      <c r="B41" s="15">
        <v>457889</v>
      </c>
      <c r="C41" s="30">
        <v>502596</v>
      </c>
      <c r="D41" s="43">
        <v>924338</v>
      </c>
      <c r="E41" s="43">
        <v>751862</v>
      </c>
      <c r="F41" s="43">
        <v>832640</v>
      </c>
      <c r="G41" s="43">
        <v>748961</v>
      </c>
      <c r="H41" s="43">
        <v>721512</v>
      </c>
      <c r="I41" s="43">
        <v>671294</v>
      </c>
      <c r="J41" s="15">
        <v>619936</v>
      </c>
      <c r="K41" s="15">
        <v>582282</v>
      </c>
      <c r="L41" s="15">
        <v>526929</v>
      </c>
      <c r="M41" s="14">
        <v>447728</v>
      </c>
      <c r="N41" s="14">
        <v>408080</v>
      </c>
      <c r="O41" s="14">
        <v>396181</v>
      </c>
      <c r="P41" s="14">
        <v>357129</v>
      </c>
      <c r="Q41" s="14">
        <v>345465</v>
      </c>
      <c r="R41" s="15">
        <v>377244</v>
      </c>
      <c r="S41" s="15">
        <v>337021</v>
      </c>
      <c r="T41" s="15">
        <v>289888</v>
      </c>
    </row>
    <row r="42" spans="1:20" x14ac:dyDescent="0.25">
      <c r="A42" s="2" t="s">
        <v>103</v>
      </c>
      <c r="B42" s="41"/>
      <c r="C42" s="42"/>
      <c r="D42" s="62" t="s">
        <v>21</v>
      </c>
      <c r="E42" s="62" t="s">
        <v>21</v>
      </c>
      <c r="F42" s="62" t="s">
        <v>21</v>
      </c>
      <c r="G42" s="62" t="s">
        <v>21</v>
      </c>
      <c r="H42" s="62" t="s">
        <v>21</v>
      </c>
      <c r="I42" s="62" t="s">
        <v>21</v>
      </c>
      <c r="J42" s="41" t="s">
        <v>21</v>
      </c>
      <c r="K42" s="15">
        <v>8867</v>
      </c>
      <c r="L42" s="15">
        <v>7761</v>
      </c>
      <c r="M42" s="14">
        <v>7855</v>
      </c>
      <c r="N42" s="14">
        <v>7679</v>
      </c>
      <c r="O42" s="14">
        <v>8231</v>
      </c>
      <c r="P42" s="14">
        <v>7851</v>
      </c>
      <c r="Q42" s="14">
        <v>11084</v>
      </c>
      <c r="R42" s="15">
        <v>15485</v>
      </c>
      <c r="S42" s="15">
        <v>18563</v>
      </c>
      <c r="T42" s="15">
        <v>20901</v>
      </c>
    </row>
    <row r="43" spans="1:20" x14ac:dyDescent="0.25">
      <c r="A43" s="2" t="s">
        <v>97</v>
      </c>
      <c r="B43" s="15">
        <v>345984</v>
      </c>
      <c r="C43" s="30">
        <v>369487</v>
      </c>
      <c r="D43" s="43">
        <v>706212</v>
      </c>
      <c r="E43" s="43">
        <v>426268</v>
      </c>
      <c r="F43" s="43">
        <v>466177</v>
      </c>
      <c r="G43" s="43">
        <v>447491</v>
      </c>
      <c r="H43" s="43">
        <v>408509</v>
      </c>
      <c r="I43" s="43">
        <v>391686</v>
      </c>
      <c r="J43" s="15">
        <v>394437</v>
      </c>
      <c r="K43" s="15">
        <v>376186</v>
      </c>
      <c r="L43" s="15">
        <v>342576</v>
      </c>
      <c r="M43" s="14">
        <v>324779</v>
      </c>
      <c r="N43" s="14">
        <v>316649</v>
      </c>
      <c r="O43" s="14">
        <v>263061</v>
      </c>
      <c r="P43" s="14">
        <v>197382</v>
      </c>
      <c r="Q43" s="14">
        <v>194081</v>
      </c>
      <c r="R43" s="15">
        <v>222406</v>
      </c>
      <c r="S43" s="15">
        <v>208959</v>
      </c>
      <c r="T43" s="15">
        <v>179548</v>
      </c>
    </row>
    <row r="44" spans="1:20" ht="20" thickBot="1" x14ac:dyDescent="0.3">
      <c r="A44" s="12" t="s">
        <v>98</v>
      </c>
      <c r="B44" s="17">
        <f>SUM(B41:B43)</f>
        <v>803873</v>
      </c>
      <c r="C44" s="36">
        <f t="shared" ref="C44:T44" si="16">SUM(C41:C43)</f>
        <v>872083</v>
      </c>
      <c r="D44" s="17">
        <f t="shared" si="16"/>
        <v>1630550</v>
      </c>
      <c r="E44" s="17">
        <f t="shared" si="16"/>
        <v>1178130</v>
      </c>
      <c r="F44" s="17">
        <f t="shared" si="16"/>
        <v>1298817</v>
      </c>
      <c r="G44" s="17">
        <f t="shared" si="16"/>
        <v>1196452</v>
      </c>
      <c r="H44" s="17">
        <f t="shared" si="16"/>
        <v>1130021</v>
      </c>
      <c r="I44" s="17">
        <f t="shared" si="16"/>
        <v>1062980</v>
      </c>
      <c r="J44" s="17">
        <f t="shared" si="16"/>
        <v>1014373</v>
      </c>
      <c r="K44" s="17">
        <f t="shared" si="16"/>
        <v>967335</v>
      </c>
      <c r="L44" s="17">
        <f t="shared" si="16"/>
        <v>877266</v>
      </c>
      <c r="M44" s="17">
        <f t="shared" si="16"/>
        <v>780362</v>
      </c>
      <c r="N44" s="17">
        <f t="shared" si="16"/>
        <v>732408</v>
      </c>
      <c r="O44" s="17">
        <f t="shared" si="16"/>
        <v>667473</v>
      </c>
      <c r="P44" s="17">
        <f t="shared" si="16"/>
        <v>562362</v>
      </c>
      <c r="Q44" s="17">
        <f t="shared" si="16"/>
        <v>550630</v>
      </c>
      <c r="R44" s="17">
        <f t="shared" si="16"/>
        <v>615135</v>
      </c>
      <c r="S44" s="17">
        <f t="shared" si="16"/>
        <v>564543</v>
      </c>
      <c r="T44" s="17">
        <f t="shared" si="16"/>
        <v>490337</v>
      </c>
    </row>
    <row r="45" spans="1:20" ht="20" thickTop="1" x14ac:dyDescent="0.25">
      <c r="B45" s="15"/>
      <c r="C45" s="30"/>
      <c r="D45" s="43"/>
      <c r="E45" s="43"/>
      <c r="F45" s="43"/>
      <c r="G45" s="43"/>
      <c r="H45" s="43"/>
      <c r="I45" s="43"/>
      <c r="J45" s="15"/>
      <c r="K45" s="15"/>
      <c r="L45" s="15"/>
      <c r="N45" s="14"/>
      <c r="O45" s="14"/>
      <c r="P45" s="14"/>
      <c r="Q45" s="14"/>
      <c r="R45" s="15"/>
      <c r="S45" s="15"/>
      <c r="T45" s="15"/>
    </row>
    <row r="46" spans="1:20" x14ac:dyDescent="0.25">
      <c r="A46" s="12" t="s">
        <v>99</v>
      </c>
      <c r="B46" s="15"/>
      <c r="C46" s="30"/>
      <c r="D46" s="43"/>
      <c r="E46" s="43"/>
      <c r="F46" s="43"/>
      <c r="G46" s="43"/>
      <c r="H46" s="43"/>
      <c r="I46" s="43"/>
      <c r="J46" s="15"/>
      <c r="K46" s="15"/>
      <c r="L46" s="15"/>
      <c r="N46" s="14"/>
      <c r="O46" s="14"/>
      <c r="P46" s="14"/>
      <c r="Q46" s="14"/>
      <c r="R46" s="15"/>
      <c r="S46" s="15"/>
      <c r="T46" s="15"/>
    </row>
    <row r="47" spans="1:20" x14ac:dyDescent="0.25">
      <c r="A47" s="2" t="s">
        <v>100</v>
      </c>
      <c r="B47" s="15">
        <v>28755</v>
      </c>
      <c r="C47" s="30">
        <v>24197</v>
      </c>
      <c r="D47" s="43">
        <v>26207</v>
      </c>
      <c r="E47" s="43">
        <v>20690</v>
      </c>
      <c r="F47" s="43">
        <v>20418</v>
      </c>
      <c r="G47" s="43">
        <v>20077</v>
      </c>
      <c r="H47" s="43">
        <v>19757</v>
      </c>
      <c r="I47" s="43">
        <v>19586</v>
      </c>
      <c r="J47" s="15">
        <v>19917</v>
      </c>
      <c r="K47" s="15">
        <v>19897</v>
      </c>
      <c r="L47" s="15">
        <v>19408</v>
      </c>
      <c r="M47" s="14">
        <v>19351</v>
      </c>
      <c r="N47" s="14">
        <v>18995</v>
      </c>
      <c r="O47" s="14">
        <v>18019</v>
      </c>
      <c r="P47" s="14">
        <v>17152</v>
      </c>
      <c r="Q47" s="14">
        <v>16291</v>
      </c>
      <c r="R47" s="15">
        <v>17298</v>
      </c>
      <c r="S47" s="15">
        <v>17249</v>
      </c>
      <c r="T47" s="15">
        <v>16298</v>
      </c>
    </row>
    <row r="48" spans="1:20" x14ac:dyDescent="0.25">
      <c r="A48" s="2" t="s">
        <v>102</v>
      </c>
      <c r="B48" s="41"/>
      <c r="C48" s="42"/>
      <c r="D48" s="41" t="s">
        <v>21</v>
      </c>
      <c r="E48" s="41" t="s">
        <v>21</v>
      </c>
      <c r="F48" s="41" t="s">
        <v>21</v>
      </c>
      <c r="G48" s="41" t="s">
        <v>21</v>
      </c>
      <c r="H48" s="41" t="s">
        <v>21</v>
      </c>
      <c r="I48" s="41" t="s">
        <v>21</v>
      </c>
      <c r="J48" s="41" t="s">
        <v>21</v>
      </c>
      <c r="K48" s="15">
        <v>26959</v>
      </c>
      <c r="L48" s="15">
        <v>27205</v>
      </c>
      <c r="M48" s="14">
        <v>26316</v>
      </c>
      <c r="N48" s="14">
        <v>25986</v>
      </c>
      <c r="O48" s="14">
        <v>23989</v>
      </c>
      <c r="P48" s="14">
        <v>23617</v>
      </c>
      <c r="Q48" s="14">
        <v>23490</v>
      </c>
      <c r="R48" s="15">
        <v>23795</v>
      </c>
      <c r="S48" s="15">
        <v>23833</v>
      </c>
      <c r="T48" s="15">
        <v>23887</v>
      </c>
    </row>
    <row r="49" spans="1:20" x14ac:dyDescent="0.25">
      <c r="A49" s="2" t="s">
        <v>101</v>
      </c>
      <c r="B49" s="15">
        <v>10619</v>
      </c>
      <c r="C49" s="30">
        <v>7997</v>
      </c>
      <c r="D49" s="43">
        <v>9238</v>
      </c>
      <c r="E49" s="43">
        <v>5957</v>
      </c>
      <c r="F49" s="43">
        <v>5089</v>
      </c>
      <c r="G49" s="43">
        <v>5098</v>
      </c>
      <c r="H49" s="43">
        <v>5102</v>
      </c>
      <c r="I49" s="43">
        <v>5106</v>
      </c>
      <c r="J49" s="15">
        <v>5327</v>
      </c>
      <c r="K49" s="15">
        <v>5273</v>
      </c>
      <c r="L49" s="15">
        <v>5160</v>
      </c>
      <c r="M49" s="14">
        <v>5268</v>
      </c>
      <c r="N49" s="14">
        <v>5291</v>
      </c>
      <c r="O49" s="14">
        <v>4816</v>
      </c>
      <c r="P49" s="14">
        <v>4155</v>
      </c>
      <c r="Q49" s="14">
        <v>3902</v>
      </c>
      <c r="R49" s="15">
        <v>4319</v>
      </c>
      <c r="S49" s="15">
        <v>4286</v>
      </c>
      <c r="T49" s="15">
        <v>4233</v>
      </c>
    </row>
    <row r="50" spans="1:20" x14ac:dyDescent="0.25">
      <c r="B50" s="15"/>
      <c r="C50" s="30"/>
      <c r="D50" s="43"/>
      <c r="E50" s="43"/>
      <c r="F50" s="43"/>
      <c r="G50" s="43"/>
      <c r="H50" s="43"/>
      <c r="I50" s="43"/>
      <c r="J50" s="15"/>
      <c r="K50" s="15"/>
      <c r="L50" s="15"/>
      <c r="N50" s="14"/>
      <c r="O50" s="14"/>
      <c r="P50" s="14"/>
      <c r="Q50" s="14"/>
      <c r="R50" s="15"/>
      <c r="S50" s="15"/>
      <c r="T50" s="15"/>
    </row>
    <row r="51" spans="1:20" x14ac:dyDescent="0.25">
      <c r="A51" s="12" t="s">
        <v>105</v>
      </c>
      <c r="B51" s="15"/>
      <c r="C51" s="30"/>
      <c r="D51" s="43"/>
      <c r="E51" s="43"/>
      <c r="F51" s="43"/>
      <c r="G51" s="43"/>
      <c r="H51" s="43"/>
      <c r="I51" s="43"/>
      <c r="J51" s="15"/>
      <c r="K51" s="15"/>
      <c r="L51" s="15"/>
      <c r="N51" s="14"/>
      <c r="O51" s="14"/>
      <c r="P51" s="14"/>
      <c r="Q51" s="14"/>
      <c r="R51" s="15"/>
      <c r="S51" s="15"/>
      <c r="T51" s="15"/>
    </row>
    <row r="52" spans="1:20" x14ac:dyDescent="0.25">
      <c r="A52" s="2" t="s">
        <v>106</v>
      </c>
      <c r="B52" s="15">
        <v>2312</v>
      </c>
      <c r="C52" s="30">
        <v>2196</v>
      </c>
      <c r="D52" s="43">
        <v>2205</v>
      </c>
      <c r="E52" s="43">
        <v>2113</v>
      </c>
      <c r="F52" s="43">
        <v>2186</v>
      </c>
      <c r="G52" s="43">
        <v>2175</v>
      </c>
      <c r="H52" s="43">
        <v>2173</v>
      </c>
      <c r="I52" s="43">
        <v>2163</v>
      </c>
      <c r="J52" s="15">
        <v>2159</v>
      </c>
      <c r="K52" s="15">
        <v>2179</v>
      </c>
      <c r="L52" s="15">
        <v>2171</v>
      </c>
      <c r="M52" s="14">
        <v>2170</v>
      </c>
      <c r="N52" s="14">
        <v>2177</v>
      </c>
      <c r="O52" s="14">
        <v>2156</v>
      </c>
      <c r="P52" s="14">
        <v>2072</v>
      </c>
      <c r="Q52" s="14">
        <v>1865</v>
      </c>
      <c r="R52" s="15">
        <v>1878</v>
      </c>
      <c r="S52" s="15">
        <v>1903</v>
      </c>
      <c r="T52" s="41" t="s">
        <v>21</v>
      </c>
    </row>
    <row r="53" spans="1:20" x14ac:dyDescent="0.25">
      <c r="A53" s="2" t="s">
        <v>108</v>
      </c>
      <c r="B53" s="41"/>
      <c r="C53" s="42"/>
      <c r="D53" s="41" t="s">
        <v>21</v>
      </c>
      <c r="E53" s="41" t="s">
        <v>21</v>
      </c>
      <c r="F53" s="41" t="s">
        <v>21</v>
      </c>
      <c r="G53" s="41" t="s">
        <v>21</v>
      </c>
      <c r="H53" s="41" t="s">
        <v>21</v>
      </c>
      <c r="I53" s="41" t="s">
        <v>21</v>
      </c>
      <c r="J53" s="41" t="s">
        <v>21</v>
      </c>
      <c r="K53" s="15">
        <v>676</v>
      </c>
      <c r="L53" s="15">
        <v>577</v>
      </c>
      <c r="M53" s="14">
        <v>630</v>
      </c>
      <c r="N53" s="14">
        <v>847</v>
      </c>
      <c r="O53" s="14">
        <v>659</v>
      </c>
      <c r="P53" s="14">
        <v>858</v>
      </c>
      <c r="Q53" s="14">
        <v>814</v>
      </c>
      <c r="R53" s="15">
        <v>994</v>
      </c>
      <c r="S53" s="15">
        <v>1169</v>
      </c>
      <c r="T53" s="41" t="s">
        <v>21</v>
      </c>
    </row>
    <row r="54" spans="1:20" x14ac:dyDescent="0.25">
      <c r="A54" s="2" t="s">
        <v>107</v>
      </c>
      <c r="B54" s="15">
        <v>961</v>
      </c>
      <c r="C54" s="30">
        <v>1015</v>
      </c>
      <c r="D54" s="43">
        <v>1083</v>
      </c>
      <c r="E54" s="43">
        <v>993</v>
      </c>
      <c r="F54" s="43">
        <v>975</v>
      </c>
      <c r="G54" s="43">
        <v>963</v>
      </c>
      <c r="H54" s="43">
        <v>961</v>
      </c>
      <c r="I54" s="43">
        <v>926</v>
      </c>
      <c r="J54" s="15">
        <v>984</v>
      </c>
      <c r="K54" s="15">
        <v>970</v>
      </c>
      <c r="L54" s="15">
        <v>916</v>
      </c>
      <c r="M54" s="14">
        <v>949</v>
      </c>
      <c r="N54" s="14">
        <v>953</v>
      </c>
      <c r="O54" s="14">
        <v>908</v>
      </c>
      <c r="P54" s="14">
        <v>869</v>
      </c>
      <c r="Q54" s="14">
        <v>837</v>
      </c>
      <c r="R54" s="15">
        <v>794</v>
      </c>
      <c r="S54" s="15">
        <v>742</v>
      </c>
      <c r="T54" s="41" t="s">
        <v>21</v>
      </c>
    </row>
    <row r="55" spans="1:20" x14ac:dyDescent="0.25">
      <c r="B55" s="15"/>
      <c r="C55" s="30"/>
      <c r="D55" s="15"/>
      <c r="E55" s="15"/>
      <c r="F55" s="15"/>
      <c r="G55" s="15"/>
      <c r="H55" s="15"/>
      <c r="I55" s="15"/>
      <c r="J55" s="15"/>
      <c r="K55" s="15"/>
      <c r="L55" s="15"/>
      <c r="N55" s="14"/>
      <c r="O55" s="14"/>
      <c r="P55" s="14"/>
      <c r="Q55" s="14"/>
      <c r="R55" s="15"/>
      <c r="S55" s="15"/>
      <c r="T55" s="15"/>
    </row>
    <row r="56" spans="1:20" x14ac:dyDescent="0.25">
      <c r="A56" s="12" t="s">
        <v>205</v>
      </c>
      <c r="B56" s="15"/>
      <c r="C56" s="30"/>
      <c r="D56" s="15"/>
      <c r="E56" s="15"/>
      <c r="F56" s="15"/>
      <c r="G56" s="15"/>
      <c r="H56" s="15"/>
      <c r="I56" s="15"/>
      <c r="J56" s="15"/>
      <c r="K56" s="15"/>
      <c r="L56" s="15"/>
      <c r="N56" s="14"/>
      <c r="O56" s="14"/>
      <c r="P56" s="14"/>
      <c r="Q56" s="14"/>
      <c r="R56" s="15"/>
      <c r="S56" s="15"/>
      <c r="T56" s="15"/>
    </row>
    <row r="57" spans="1:20" x14ac:dyDescent="0.25">
      <c r="A57" s="2" t="s">
        <v>171</v>
      </c>
      <c r="B57" s="38">
        <f>B52/B47</f>
        <v>8.0403408102938626E-2</v>
      </c>
      <c r="C57" s="39">
        <f t="shared" ref="C57:S57" si="17">C52/C47</f>
        <v>9.0755052279208173E-2</v>
      </c>
      <c r="D57" s="38">
        <f t="shared" si="17"/>
        <v>8.4137825771740379E-2</v>
      </c>
      <c r="E57" s="38">
        <f t="shared" si="17"/>
        <v>0.10212663122281296</v>
      </c>
      <c r="F57" s="38">
        <f t="shared" si="17"/>
        <v>0.10706239592516407</v>
      </c>
      <c r="G57" s="38">
        <f t="shared" si="17"/>
        <v>0.10833291826468097</v>
      </c>
      <c r="H57" s="38">
        <f t="shared" si="17"/>
        <v>0.10998633395758466</v>
      </c>
      <c r="I57" s="38">
        <f t="shared" si="17"/>
        <v>0.11043602573266618</v>
      </c>
      <c r="J57" s="38">
        <f t="shared" si="17"/>
        <v>0.1083998594165788</v>
      </c>
      <c r="K57" s="38">
        <f t="shared" si="17"/>
        <v>0.10951399708498769</v>
      </c>
      <c r="L57" s="38">
        <f t="shared" si="17"/>
        <v>0.111861088211047</v>
      </c>
      <c r="M57" s="38">
        <f t="shared" si="17"/>
        <v>0.11213890754999742</v>
      </c>
      <c r="N57" s="38">
        <f t="shared" si="17"/>
        <v>0.1146091076599105</v>
      </c>
      <c r="O57" s="38">
        <f t="shared" si="17"/>
        <v>0.11965147899439481</v>
      </c>
      <c r="P57" s="38">
        <f t="shared" si="17"/>
        <v>0.12080223880597014</v>
      </c>
      <c r="Q57" s="38">
        <f t="shared" si="17"/>
        <v>0.1144803879442637</v>
      </c>
      <c r="R57" s="38">
        <f t="shared" si="17"/>
        <v>0.10856746444675686</v>
      </c>
      <c r="S57" s="38">
        <f t="shared" si="17"/>
        <v>0.11032523624557945</v>
      </c>
      <c r="T57" s="38"/>
    </row>
    <row r="58" spans="1:20" x14ac:dyDescent="0.25">
      <c r="A58" s="2" t="s">
        <v>173</v>
      </c>
      <c r="B58" s="41" t="s">
        <v>21</v>
      </c>
      <c r="C58" s="42" t="s">
        <v>21</v>
      </c>
      <c r="D58" s="41" t="s">
        <v>21</v>
      </c>
      <c r="E58" s="41" t="s">
        <v>21</v>
      </c>
      <c r="F58" s="41" t="s">
        <v>21</v>
      </c>
      <c r="G58" s="41" t="s">
        <v>21</v>
      </c>
      <c r="H58" s="41" t="s">
        <v>21</v>
      </c>
      <c r="I58" s="41" t="s">
        <v>21</v>
      </c>
      <c r="J58" s="41" t="s">
        <v>21</v>
      </c>
      <c r="K58" s="38">
        <f>K53/K48</f>
        <v>2.5075114062094291E-2</v>
      </c>
      <c r="L58" s="38">
        <f t="shared" ref="L58:S58" si="18">L53/L48</f>
        <v>2.1209336519022237E-2</v>
      </c>
      <c r="M58" s="38">
        <f t="shared" si="18"/>
        <v>2.3939808481532147E-2</v>
      </c>
      <c r="N58" s="38">
        <f t="shared" si="18"/>
        <v>3.2594473947510201E-2</v>
      </c>
      <c r="O58" s="38">
        <f t="shared" si="18"/>
        <v>2.7470924173579558E-2</v>
      </c>
      <c r="P58" s="38">
        <f t="shared" si="18"/>
        <v>3.6329762459245456E-2</v>
      </c>
      <c r="Q58" s="38">
        <f t="shared" si="18"/>
        <v>3.4653043848446148E-2</v>
      </c>
      <c r="R58" s="38">
        <f t="shared" si="18"/>
        <v>4.1773481823912585E-2</v>
      </c>
      <c r="S58" s="38">
        <f t="shared" si="18"/>
        <v>4.9049637057860952E-2</v>
      </c>
      <c r="T58" s="38"/>
    </row>
    <row r="59" spans="1:20" x14ac:dyDescent="0.25">
      <c r="A59" s="2" t="s">
        <v>172</v>
      </c>
      <c r="B59" s="38">
        <f>B54/B49</f>
        <v>9.0498163668895376E-2</v>
      </c>
      <c r="C59" s="39">
        <f t="shared" ref="C59:S59" si="19">C54/C49</f>
        <v>0.12692259597349007</v>
      </c>
      <c r="D59" s="38">
        <f t="shared" si="19"/>
        <v>0.11723316735224075</v>
      </c>
      <c r="E59" s="38">
        <f t="shared" si="19"/>
        <v>0.16669464495551453</v>
      </c>
      <c r="F59" s="38">
        <f t="shared" si="19"/>
        <v>0.19158970328158773</v>
      </c>
      <c r="G59" s="38">
        <f t="shared" si="19"/>
        <v>0.1888976069046685</v>
      </c>
      <c r="H59" s="38">
        <f t="shared" si="19"/>
        <v>0.18835750686005487</v>
      </c>
      <c r="I59" s="38">
        <f t="shared" si="19"/>
        <v>0.18135526831179005</v>
      </c>
      <c r="J59" s="38">
        <f t="shared" si="19"/>
        <v>0.18471935423315186</v>
      </c>
      <c r="K59" s="38">
        <f t="shared" si="19"/>
        <v>0.18395600227574435</v>
      </c>
      <c r="L59" s="38">
        <f t="shared" si="19"/>
        <v>0.17751937984496124</v>
      </c>
      <c r="M59" s="38">
        <f t="shared" si="19"/>
        <v>0.18014426727410782</v>
      </c>
      <c r="N59" s="38">
        <f t="shared" si="19"/>
        <v>0.18011718011718011</v>
      </c>
      <c r="O59" s="38">
        <f t="shared" si="19"/>
        <v>0.18853820598006646</v>
      </c>
      <c r="P59" s="38">
        <f t="shared" si="19"/>
        <v>0.20914560770156437</v>
      </c>
      <c r="Q59" s="38">
        <f t="shared" si="19"/>
        <v>0.21450538185545873</v>
      </c>
      <c r="R59" s="38">
        <f t="shared" si="19"/>
        <v>0.18383885158601529</v>
      </c>
      <c r="S59" s="38">
        <f t="shared" si="19"/>
        <v>0.1731217918805413</v>
      </c>
      <c r="T59" s="38"/>
    </row>
    <row r="60" spans="1:20" x14ac:dyDescent="0.25">
      <c r="B60" s="15"/>
      <c r="C60" s="15"/>
      <c r="D60" s="15"/>
      <c r="E60" s="15"/>
      <c r="F60" s="15"/>
      <c r="G60" s="15"/>
      <c r="H60" s="15"/>
      <c r="I60" s="15"/>
      <c r="J60" s="15"/>
      <c r="K60" s="15"/>
      <c r="L60" s="15"/>
      <c r="N60" s="14"/>
      <c r="O60" s="14"/>
      <c r="P60" s="14"/>
      <c r="Q60" s="14"/>
      <c r="R60" s="15"/>
      <c r="S60" s="15"/>
      <c r="T60" s="15"/>
    </row>
    <row r="61" spans="1:20" x14ac:dyDescent="0.25">
      <c r="B61" s="15"/>
      <c r="C61" s="15"/>
      <c r="D61" s="15"/>
      <c r="E61" s="15"/>
      <c r="F61" s="15"/>
      <c r="G61" s="15"/>
      <c r="H61" s="15"/>
      <c r="I61" s="15"/>
      <c r="J61" s="15"/>
      <c r="K61" s="15"/>
      <c r="L61" s="15"/>
      <c r="N61" s="14"/>
      <c r="O61" s="14"/>
      <c r="P61" s="14"/>
      <c r="Q61" s="14"/>
      <c r="R61" s="15"/>
      <c r="S61" s="15"/>
      <c r="T61" s="15"/>
    </row>
    <row r="62" spans="1:20" x14ac:dyDescent="0.25">
      <c r="B62" s="15"/>
      <c r="C62" s="15"/>
      <c r="D62" s="15"/>
      <c r="E62" s="15"/>
      <c r="F62" s="15"/>
      <c r="G62" s="15"/>
      <c r="H62" s="15"/>
      <c r="I62" s="15"/>
      <c r="J62" s="15"/>
      <c r="K62" s="15"/>
      <c r="L62" s="15"/>
      <c r="M62" s="15"/>
      <c r="N62" s="15"/>
      <c r="O62" s="14"/>
      <c r="P62" s="14"/>
      <c r="Q62" s="14"/>
      <c r="R62" s="15"/>
      <c r="S62" s="15"/>
      <c r="T62" s="15"/>
    </row>
    <row r="63" spans="1:20" x14ac:dyDescent="0.25">
      <c r="B63" s="15"/>
      <c r="C63" s="15"/>
      <c r="D63" s="15"/>
      <c r="E63" s="15"/>
      <c r="F63" s="15"/>
      <c r="G63" s="15"/>
      <c r="H63" s="15"/>
      <c r="I63" s="15"/>
      <c r="J63" s="15"/>
      <c r="K63" s="15"/>
      <c r="L63" s="15"/>
      <c r="N63" s="14"/>
      <c r="O63" s="14"/>
      <c r="P63" s="14"/>
      <c r="Q63" s="14"/>
      <c r="R63" s="15"/>
      <c r="S63" s="15"/>
      <c r="T63" s="15"/>
    </row>
    <row r="64" spans="1:20" x14ac:dyDescent="0.25">
      <c r="B64" s="15"/>
      <c r="C64" s="15"/>
      <c r="D64" s="15"/>
      <c r="E64" s="15"/>
      <c r="F64" s="15"/>
      <c r="G64" s="15"/>
      <c r="H64" s="15"/>
      <c r="I64" s="15"/>
      <c r="J64" s="15"/>
      <c r="K64" s="15"/>
      <c r="L64" s="15"/>
      <c r="N64" s="14"/>
      <c r="O64" s="14"/>
      <c r="P64" s="14"/>
      <c r="Q64" s="14"/>
      <c r="R64" s="15"/>
      <c r="S64" s="15"/>
      <c r="T64" s="15"/>
    </row>
    <row r="65" spans="2:20" x14ac:dyDescent="0.25">
      <c r="B65" s="15"/>
      <c r="C65" s="15"/>
      <c r="D65" s="15"/>
      <c r="E65" s="15"/>
      <c r="F65" s="15"/>
      <c r="G65" s="15"/>
      <c r="H65" s="15"/>
      <c r="I65" s="15"/>
      <c r="J65" s="15"/>
      <c r="K65" s="15"/>
      <c r="L65" s="15"/>
      <c r="N65" s="14"/>
      <c r="O65" s="14"/>
      <c r="P65" s="14"/>
      <c r="Q65" s="14"/>
      <c r="R65" s="15"/>
      <c r="S65" s="15"/>
      <c r="T65" s="15"/>
    </row>
    <row r="66" spans="2:20" x14ac:dyDescent="0.25">
      <c r="B66" s="15"/>
      <c r="C66" s="15"/>
      <c r="D66" s="15"/>
      <c r="E66" s="15"/>
      <c r="F66" s="15"/>
      <c r="G66" s="15"/>
      <c r="H66" s="15"/>
      <c r="I66" s="15"/>
      <c r="J66" s="15"/>
      <c r="K66" s="15"/>
      <c r="L66" s="15"/>
      <c r="N66" s="14"/>
      <c r="O66" s="14"/>
      <c r="P66" s="14"/>
      <c r="Q66" s="14"/>
      <c r="R66" s="15"/>
      <c r="S66" s="15"/>
      <c r="T66" s="15"/>
    </row>
    <row r="67" spans="2:20" x14ac:dyDescent="0.25">
      <c r="B67" s="15"/>
      <c r="C67" s="15"/>
      <c r="D67" s="15"/>
      <c r="E67" s="15"/>
      <c r="F67" s="15"/>
      <c r="G67" s="15"/>
      <c r="H67" s="15"/>
      <c r="I67" s="15"/>
      <c r="J67" s="15"/>
      <c r="K67" s="15"/>
      <c r="L67" s="15"/>
      <c r="N67" s="14"/>
      <c r="O67" s="14"/>
      <c r="P67" s="14"/>
      <c r="Q67" s="14"/>
      <c r="R67" s="15"/>
      <c r="S67" s="15"/>
      <c r="T67" s="15"/>
    </row>
    <row r="68" spans="2:20" x14ac:dyDescent="0.25">
      <c r="B68" s="15"/>
      <c r="C68" s="15"/>
      <c r="D68" s="15"/>
      <c r="E68" s="15"/>
      <c r="F68" s="15"/>
      <c r="G68" s="15"/>
      <c r="H68" s="15"/>
      <c r="I68" s="15"/>
      <c r="J68" s="15"/>
      <c r="K68" s="15"/>
      <c r="L68" s="15"/>
      <c r="N68" s="14"/>
      <c r="O68" s="14"/>
      <c r="P68" s="14"/>
      <c r="Q68" s="14"/>
      <c r="R68" s="15"/>
      <c r="S68" s="15"/>
      <c r="T68" s="15"/>
    </row>
    <row r="69" spans="2:20" x14ac:dyDescent="0.25">
      <c r="B69" s="15"/>
      <c r="C69" s="15"/>
      <c r="D69" s="15"/>
      <c r="E69" s="15"/>
      <c r="F69" s="15"/>
      <c r="G69" s="15"/>
      <c r="H69" s="15"/>
      <c r="I69" s="15"/>
      <c r="J69" s="15"/>
      <c r="K69" s="15"/>
      <c r="L69" s="15"/>
      <c r="N69" s="14"/>
      <c r="O69" s="14"/>
      <c r="P69" s="14"/>
      <c r="Q69" s="14"/>
      <c r="R69" s="15"/>
      <c r="S69" s="15"/>
      <c r="T69" s="15"/>
    </row>
    <row r="70" spans="2:20" x14ac:dyDescent="0.25">
      <c r="B70" s="15"/>
      <c r="C70" s="15"/>
      <c r="D70" s="15"/>
      <c r="E70" s="15"/>
      <c r="F70" s="15"/>
      <c r="G70" s="15"/>
      <c r="H70" s="15"/>
      <c r="I70" s="15"/>
      <c r="J70" s="15"/>
      <c r="K70" s="15"/>
      <c r="L70" s="15"/>
      <c r="N70" s="14"/>
      <c r="O70" s="14"/>
      <c r="P70" s="14"/>
      <c r="Q70" s="14"/>
      <c r="R70" s="15"/>
      <c r="S70" s="15"/>
      <c r="T70" s="15"/>
    </row>
    <row r="71" spans="2:20" x14ac:dyDescent="0.25">
      <c r="B71" s="15"/>
      <c r="C71" s="15"/>
      <c r="D71" s="15"/>
      <c r="E71" s="15"/>
      <c r="F71" s="15"/>
      <c r="G71" s="15"/>
      <c r="H71" s="15"/>
      <c r="I71" s="15"/>
      <c r="J71" s="15"/>
      <c r="K71" s="15"/>
      <c r="L71" s="15"/>
      <c r="N71" s="14"/>
      <c r="O71" s="14"/>
      <c r="P71" s="14"/>
      <c r="Q71" s="14"/>
      <c r="R71" s="15"/>
      <c r="S71" s="15"/>
      <c r="T71" s="15"/>
    </row>
    <row r="72" spans="2:20" x14ac:dyDescent="0.25">
      <c r="B72" s="15"/>
      <c r="C72" s="15"/>
      <c r="D72" s="15"/>
      <c r="E72" s="15"/>
      <c r="F72" s="15"/>
      <c r="G72" s="15"/>
      <c r="H72" s="15"/>
      <c r="I72" s="15"/>
      <c r="J72" s="15"/>
      <c r="K72" s="15"/>
      <c r="L72" s="15"/>
      <c r="N72" s="14"/>
      <c r="O72" s="14"/>
      <c r="P72" s="14"/>
      <c r="Q72" s="14"/>
      <c r="R72" s="15"/>
      <c r="S72" s="15"/>
      <c r="T72" s="15"/>
    </row>
    <row r="73" spans="2:20" x14ac:dyDescent="0.25">
      <c r="B73" s="15"/>
      <c r="C73" s="15"/>
      <c r="D73" s="15"/>
      <c r="E73" s="15"/>
      <c r="F73" s="15"/>
      <c r="G73" s="15"/>
      <c r="H73" s="15"/>
      <c r="I73" s="15"/>
      <c r="J73" s="15"/>
      <c r="K73" s="15"/>
      <c r="L73" s="15"/>
      <c r="N73" s="14"/>
      <c r="O73" s="14"/>
      <c r="P73" s="14"/>
      <c r="Q73" s="14"/>
      <c r="R73" s="15"/>
      <c r="S73" s="15"/>
      <c r="T73" s="15"/>
    </row>
    <row r="74" spans="2:20" x14ac:dyDescent="0.25">
      <c r="B74" s="15"/>
      <c r="C74" s="15"/>
      <c r="D74" s="15"/>
      <c r="E74" s="15"/>
      <c r="F74" s="15"/>
      <c r="G74" s="15"/>
      <c r="H74" s="15"/>
      <c r="I74" s="15"/>
      <c r="J74" s="15"/>
      <c r="K74" s="15"/>
      <c r="L74" s="15"/>
      <c r="N74" s="14"/>
      <c r="O74" s="14"/>
      <c r="P74" s="14"/>
      <c r="Q74" s="14"/>
      <c r="R74" s="15"/>
      <c r="S74" s="15"/>
      <c r="T74" s="15"/>
    </row>
    <row r="75" spans="2:20" x14ac:dyDescent="0.25">
      <c r="B75" s="15"/>
      <c r="C75" s="15"/>
      <c r="D75" s="15"/>
      <c r="E75" s="15"/>
      <c r="F75" s="15"/>
      <c r="G75" s="15"/>
      <c r="H75" s="15"/>
      <c r="I75" s="15"/>
      <c r="J75" s="15"/>
      <c r="K75" s="15"/>
      <c r="L75" s="15"/>
      <c r="N75" s="14"/>
      <c r="O75" s="14"/>
      <c r="P75" s="14"/>
      <c r="Q75" s="14"/>
      <c r="R75" s="15"/>
      <c r="S75" s="15"/>
      <c r="T75" s="15"/>
    </row>
    <row r="76" spans="2:20" x14ac:dyDescent="0.25">
      <c r="B76" s="15"/>
      <c r="C76" s="15"/>
      <c r="D76" s="15"/>
      <c r="E76" s="15"/>
      <c r="F76" s="15"/>
      <c r="G76" s="15"/>
      <c r="H76" s="15"/>
      <c r="I76" s="15"/>
      <c r="J76" s="15"/>
      <c r="K76" s="15"/>
      <c r="L76" s="15"/>
      <c r="N76" s="14"/>
      <c r="O76" s="14"/>
      <c r="P76" s="14"/>
      <c r="Q76" s="14"/>
      <c r="R76" s="15"/>
      <c r="S76" s="15"/>
      <c r="T76" s="15"/>
    </row>
    <row r="77" spans="2:20" x14ac:dyDescent="0.25">
      <c r="B77" s="15"/>
      <c r="C77" s="15"/>
      <c r="D77" s="15"/>
      <c r="E77" s="15"/>
      <c r="F77" s="15"/>
      <c r="G77" s="15"/>
      <c r="H77" s="15"/>
      <c r="I77" s="15"/>
      <c r="J77" s="15"/>
      <c r="K77" s="15"/>
      <c r="L77" s="15"/>
      <c r="N77" s="14"/>
      <c r="O77" s="14"/>
      <c r="P77" s="14"/>
      <c r="Q77" s="14"/>
      <c r="R77" s="15"/>
      <c r="S77" s="15"/>
      <c r="T77" s="15"/>
    </row>
    <row r="78" spans="2:20" x14ac:dyDescent="0.25">
      <c r="B78" s="15"/>
      <c r="C78" s="15"/>
      <c r="D78" s="15"/>
      <c r="E78" s="15"/>
      <c r="F78" s="15"/>
      <c r="G78" s="15"/>
      <c r="H78" s="15"/>
      <c r="I78" s="15"/>
      <c r="J78" s="15"/>
      <c r="K78" s="15"/>
      <c r="L78" s="15"/>
      <c r="N78" s="14"/>
      <c r="O78" s="14"/>
      <c r="P78" s="14"/>
      <c r="Q78" s="14"/>
      <c r="R78" s="15"/>
      <c r="S78" s="15"/>
      <c r="T78" s="15"/>
    </row>
    <row r="79" spans="2:20" x14ac:dyDescent="0.25">
      <c r="B79" s="15"/>
      <c r="C79" s="15"/>
      <c r="D79" s="15"/>
      <c r="E79" s="15"/>
      <c r="F79" s="15"/>
      <c r="G79" s="15"/>
      <c r="H79" s="15"/>
      <c r="I79" s="15"/>
      <c r="J79" s="15"/>
      <c r="K79" s="15"/>
      <c r="L79" s="15"/>
      <c r="N79" s="14"/>
      <c r="O79" s="14"/>
      <c r="P79" s="14"/>
      <c r="Q79" s="14"/>
      <c r="R79" s="15"/>
      <c r="S79" s="15"/>
      <c r="T79" s="15"/>
    </row>
    <row r="80" spans="2:20" x14ac:dyDescent="0.25">
      <c r="B80" s="15"/>
      <c r="C80" s="15"/>
      <c r="D80" s="15"/>
      <c r="E80" s="15"/>
      <c r="F80" s="15"/>
      <c r="G80" s="15"/>
      <c r="H80" s="15"/>
      <c r="I80" s="15"/>
      <c r="J80" s="15"/>
      <c r="K80" s="15"/>
      <c r="L80" s="15"/>
      <c r="N80" s="14"/>
      <c r="O80" s="14"/>
      <c r="P80" s="14"/>
      <c r="Q80" s="14"/>
      <c r="R80" s="15"/>
      <c r="S80" s="15"/>
      <c r="T80" s="15"/>
    </row>
    <row r="81" spans="2:20" x14ac:dyDescent="0.25">
      <c r="B81" s="15"/>
      <c r="C81" s="15"/>
      <c r="D81" s="15"/>
      <c r="E81" s="15"/>
      <c r="F81" s="15"/>
      <c r="G81" s="15"/>
      <c r="H81" s="15"/>
      <c r="I81" s="15"/>
      <c r="J81" s="15"/>
      <c r="K81" s="15"/>
      <c r="L81" s="15"/>
      <c r="N81" s="14"/>
      <c r="O81" s="14"/>
      <c r="P81" s="14"/>
      <c r="Q81" s="14"/>
      <c r="R81" s="15"/>
      <c r="S81" s="15"/>
      <c r="T81" s="15"/>
    </row>
    <row r="82" spans="2:20" x14ac:dyDescent="0.25">
      <c r="B82" s="15"/>
      <c r="C82" s="15"/>
      <c r="D82" s="15"/>
      <c r="E82" s="15"/>
      <c r="F82" s="15"/>
      <c r="G82" s="15"/>
      <c r="H82" s="15"/>
      <c r="I82" s="15"/>
      <c r="J82" s="15"/>
      <c r="K82" s="15"/>
      <c r="L82" s="15"/>
      <c r="N82" s="14"/>
      <c r="O82" s="14"/>
      <c r="P82" s="14"/>
      <c r="Q82" s="14"/>
      <c r="R82" s="15"/>
      <c r="S82" s="15"/>
      <c r="T82" s="15"/>
    </row>
    <row r="83" spans="2:20" x14ac:dyDescent="0.25">
      <c r="B83" s="15"/>
      <c r="C83" s="15"/>
      <c r="D83" s="15"/>
      <c r="E83" s="15"/>
      <c r="F83" s="15"/>
      <c r="G83" s="15"/>
      <c r="H83" s="15"/>
      <c r="I83" s="15"/>
      <c r="J83" s="15"/>
      <c r="K83" s="15"/>
      <c r="L83" s="15"/>
      <c r="N83" s="14"/>
      <c r="O83" s="14"/>
      <c r="P83" s="14"/>
      <c r="Q83" s="14"/>
      <c r="R83" s="15"/>
      <c r="S83" s="15"/>
      <c r="T83" s="15"/>
    </row>
    <row r="84" spans="2:20" x14ac:dyDescent="0.25">
      <c r="B84" s="15"/>
      <c r="C84" s="15"/>
      <c r="D84" s="15"/>
      <c r="E84" s="15"/>
      <c r="F84" s="15"/>
      <c r="G84" s="15"/>
      <c r="H84" s="15"/>
      <c r="I84" s="15"/>
      <c r="J84" s="15"/>
      <c r="K84" s="15"/>
      <c r="L84" s="15"/>
      <c r="N84" s="14"/>
      <c r="O84" s="14"/>
      <c r="P84" s="14"/>
      <c r="Q84" s="14"/>
      <c r="R84" s="15"/>
      <c r="S84" s="15"/>
      <c r="T84" s="15"/>
    </row>
  </sheetData>
  <mergeCells count="13">
    <mergeCell ref="G19:M19"/>
    <mergeCell ref="B3:C3"/>
    <mergeCell ref="T12:T14"/>
    <mergeCell ref="S12:S14"/>
    <mergeCell ref="R12:R14"/>
    <mergeCell ref="Q12:Q14"/>
    <mergeCell ref="P12:P14"/>
    <mergeCell ref="O12:O14"/>
    <mergeCell ref="N12:N14"/>
    <mergeCell ref="M12:M14"/>
    <mergeCell ref="L12:L14"/>
    <mergeCell ref="K12:K14"/>
    <mergeCell ref="D3:M3"/>
  </mergeCells>
  <pageMargins left="0.7" right="0.7" top="0.75" bottom="0.75" header="0.3" footer="0.3"/>
  <pageSetup scale="65" fitToHeight="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D412D-AE7C-7342-B22C-71743AC0326C}">
  <sheetPr>
    <pageSetUpPr fitToPage="1"/>
  </sheetPr>
  <dimension ref="A1:O70"/>
  <sheetViews>
    <sheetView workbookViewId="0">
      <pane ySplit="4" topLeftCell="A5" activePane="bottomLeft" state="frozen"/>
      <selection pane="bottomLeft"/>
    </sheetView>
  </sheetViews>
  <sheetFormatPr baseColWidth="10" defaultColWidth="9.1640625" defaultRowHeight="19" x14ac:dyDescent="0.25"/>
  <cols>
    <col min="1" max="1" width="52" style="2" bestFit="1" customWidth="1"/>
    <col min="2" max="12" width="12.33203125" style="2" customWidth="1"/>
    <col min="13" max="13" width="12.33203125" style="14" customWidth="1"/>
    <col min="14" max="15" width="12.33203125" style="2" customWidth="1"/>
    <col min="16" max="16384" width="9.1640625" style="2"/>
  </cols>
  <sheetData>
    <row r="1" spans="1:15" ht="21" x14ac:dyDescent="0.25">
      <c r="A1" s="86" t="s">
        <v>198</v>
      </c>
      <c r="B1" s="12"/>
      <c r="C1" s="12"/>
      <c r="D1" s="12"/>
      <c r="E1" s="12"/>
      <c r="F1" s="12"/>
      <c r="G1" s="12"/>
      <c r="H1" s="12"/>
      <c r="I1" s="12"/>
      <c r="J1" s="12"/>
      <c r="K1" s="12"/>
      <c r="L1" s="12"/>
    </row>
    <row r="2" spans="1:15" x14ac:dyDescent="0.25">
      <c r="A2" s="3" t="s">
        <v>233</v>
      </c>
      <c r="B2" s="3"/>
      <c r="C2" s="3"/>
      <c r="D2" s="3"/>
      <c r="E2" s="3"/>
      <c r="F2" s="3"/>
      <c r="G2" s="3"/>
      <c r="H2" s="3"/>
      <c r="I2" s="3"/>
      <c r="J2" s="3"/>
      <c r="K2" s="23"/>
      <c r="L2" s="23"/>
    </row>
    <row r="3" spans="1:15" x14ac:dyDescent="0.25">
      <c r="A3" s="83" t="s">
        <v>4</v>
      </c>
      <c r="B3" s="107" t="s">
        <v>200</v>
      </c>
      <c r="C3" s="107"/>
      <c r="D3" s="108" t="s">
        <v>199</v>
      </c>
      <c r="E3" s="108"/>
      <c r="F3" s="108"/>
      <c r="G3" s="108"/>
      <c r="H3" s="107" t="s">
        <v>201</v>
      </c>
      <c r="I3" s="107"/>
      <c r="J3" s="107"/>
      <c r="K3" s="107"/>
      <c r="L3" s="108" t="s">
        <v>202</v>
      </c>
      <c r="M3" s="108"/>
      <c r="N3" s="108"/>
      <c r="O3" s="108"/>
    </row>
    <row r="4" spans="1:15" s="12" customFormat="1" x14ac:dyDescent="0.25">
      <c r="A4" s="85" t="s">
        <v>203</v>
      </c>
      <c r="B4" s="9">
        <v>44804</v>
      </c>
      <c r="C4" s="9">
        <v>44712</v>
      </c>
      <c r="D4" s="84">
        <v>44620</v>
      </c>
      <c r="E4" s="84">
        <v>44530</v>
      </c>
      <c r="F4" s="84">
        <v>44439</v>
      </c>
      <c r="G4" s="84">
        <v>44347</v>
      </c>
      <c r="H4" s="9">
        <v>44255</v>
      </c>
      <c r="I4" s="9">
        <v>44165</v>
      </c>
      <c r="J4" s="9">
        <v>44074</v>
      </c>
      <c r="K4" s="9">
        <v>43982</v>
      </c>
      <c r="L4" s="84">
        <v>43890</v>
      </c>
      <c r="M4" s="84">
        <v>43799</v>
      </c>
      <c r="N4" s="84">
        <v>43708</v>
      </c>
      <c r="O4" s="84">
        <v>43616</v>
      </c>
    </row>
    <row r="5" spans="1:15" x14ac:dyDescent="0.25">
      <c r="A5" s="12" t="s">
        <v>54</v>
      </c>
      <c r="B5" s="27"/>
      <c r="C5" s="27"/>
      <c r="D5" s="27"/>
      <c r="E5" s="27"/>
      <c r="F5" s="27"/>
      <c r="G5" s="27"/>
      <c r="H5" s="27"/>
      <c r="I5" s="27"/>
      <c r="J5" s="27"/>
      <c r="K5" s="13"/>
      <c r="L5" s="13"/>
      <c r="M5" s="13"/>
      <c r="N5" s="29"/>
      <c r="O5" s="29"/>
    </row>
    <row r="6" spans="1:15" x14ac:dyDescent="0.25">
      <c r="A6" s="2" t="s">
        <v>55</v>
      </c>
      <c r="B6" s="43">
        <v>6284085</v>
      </c>
      <c r="C6" s="43">
        <v>7014490</v>
      </c>
      <c r="D6" s="43">
        <v>5739795</v>
      </c>
      <c r="E6" s="15">
        <v>6435590</v>
      </c>
      <c r="F6" s="15">
        <v>6104366</v>
      </c>
      <c r="G6" s="15">
        <v>6157344</v>
      </c>
      <c r="H6" s="15">
        <v>4328400</v>
      </c>
      <c r="I6" s="15">
        <v>4209748</v>
      </c>
      <c r="J6" s="15">
        <v>4389233</v>
      </c>
      <c r="K6" s="15">
        <v>2786202</v>
      </c>
      <c r="L6" s="15">
        <v>4253699</v>
      </c>
      <c r="M6" s="15">
        <v>4028811</v>
      </c>
      <c r="N6" s="14">
        <v>4346295</v>
      </c>
      <c r="O6" s="14">
        <v>4540657</v>
      </c>
    </row>
    <row r="7" spans="1:15" x14ac:dyDescent="0.25">
      <c r="A7" s="2" t="s">
        <v>56</v>
      </c>
      <c r="B7" s="43">
        <v>1690326</v>
      </c>
      <c r="C7" s="43">
        <v>2116517</v>
      </c>
      <c r="D7" s="43">
        <v>1765601</v>
      </c>
      <c r="E7" s="15">
        <v>1922283</v>
      </c>
      <c r="F7" s="15">
        <v>1701572</v>
      </c>
      <c r="G7" s="15">
        <v>1374357</v>
      </c>
      <c r="H7" s="15">
        <v>678457</v>
      </c>
      <c r="I7" s="15">
        <v>828362</v>
      </c>
      <c r="J7" s="15">
        <v>819082</v>
      </c>
      <c r="K7" s="15">
        <v>342852</v>
      </c>
      <c r="L7" s="15">
        <v>548324</v>
      </c>
      <c r="M7" s="15">
        <v>610983</v>
      </c>
      <c r="N7" s="14">
        <v>678286</v>
      </c>
      <c r="O7" s="14">
        <v>662449</v>
      </c>
    </row>
    <row r="8" spans="1:15" x14ac:dyDescent="0.25">
      <c r="A8" s="2" t="s">
        <v>57</v>
      </c>
      <c r="B8" s="43">
        <v>170392</v>
      </c>
      <c r="C8" s="43">
        <v>180614</v>
      </c>
      <c r="D8" s="43">
        <v>181299</v>
      </c>
      <c r="E8" s="15">
        <v>169886</v>
      </c>
      <c r="F8" s="15">
        <v>182421</v>
      </c>
      <c r="G8" s="15">
        <v>165898</v>
      </c>
      <c r="H8" s="15">
        <v>157400</v>
      </c>
      <c r="I8" s="15">
        <v>146834</v>
      </c>
      <c r="J8" s="15">
        <v>163851</v>
      </c>
      <c r="K8" s="15">
        <v>99728</v>
      </c>
      <c r="L8" s="15">
        <v>160467</v>
      </c>
      <c r="M8" s="15">
        <v>150234</v>
      </c>
      <c r="N8" s="14">
        <v>176570</v>
      </c>
      <c r="O8" s="14">
        <v>163212</v>
      </c>
    </row>
    <row r="9" spans="1:15" x14ac:dyDescent="0.25">
      <c r="A9" s="12" t="s">
        <v>58</v>
      </c>
      <c r="B9" s="19">
        <f t="shared" ref="B9" si="0">SUM(B6:B8)</f>
        <v>8144803</v>
      </c>
      <c r="C9" s="19">
        <f t="shared" ref="C9:O9" si="1">SUM(C6:C8)</f>
        <v>9311621</v>
      </c>
      <c r="D9" s="19">
        <f t="shared" si="1"/>
        <v>7686695</v>
      </c>
      <c r="E9" s="19">
        <f t="shared" si="1"/>
        <v>8527759</v>
      </c>
      <c r="F9" s="19">
        <f t="shared" si="1"/>
        <v>7988359</v>
      </c>
      <c r="G9" s="19">
        <f t="shared" si="1"/>
        <v>7697599</v>
      </c>
      <c r="H9" s="19">
        <f t="shared" si="1"/>
        <v>5164257</v>
      </c>
      <c r="I9" s="19">
        <f t="shared" si="1"/>
        <v>5184944</v>
      </c>
      <c r="J9" s="19">
        <f t="shared" si="1"/>
        <v>5372166</v>
      </c>
      <c r="K9" s="19">
        <f t="shared" si="1"/>
        <v>3228782</v>
      </c>
      <c r="L9" s="19">
        <f t="shared" si="1"/>
        <v>4962490</v>
      </c>
      <c r="M9" s="19">
        <f t="shared" si="1"/>
        <v>4790028</v>
      </c>
      <c r="N9" s="19">
        <f t="shared" si="1"/>
        <v>5201151</v>
      </c>
      <c r="O9" s="19">
        <f t="shared" si="1"/>
        <v>5366318</v>
      </c>
    </row>
    <row r="10" spans="1:15" x14ac:dyDescent="0.25">
      <c r="A10" s="12" t="s">
        <v>165</v>
      </c>
      <c r="B10" s="27"/>
      <c r="C10" s="27"/>
      <c r="D10" s="27"/>
      <c r="E10" s="27"/>
      <c r="F10" s="27"/>
      <c r="G10" s="27"/>
      <c r="H10" s="27"/>
      <c r="I10" s="27"/>
      <c r="J10" s="27"/>
      <c r="K10" s="27"/>
      <c r="L10" s="27"/>
      <c r="M10" s="27"/>
      <c r="N10" s="27"/>
      <c r="O10" s="27"/>
    </row>
    <row r="11" spans="1:15" x14ac:dyDescent="0.25">
      <c r="A11" s="2" t="s">
        <v>166</v>
      </c>
      <c r="B11" s="43">
        <v>5789098</v>
      </c>
      <c r="C11" s="43">
        <v>6451010</v>
      </c>
      <c r="D11" s="43">
        <v>5313235</v>
      </c>
      <c r="E11" s="43">
        <v>5927237</v>
      </c>
      <c r="F11" s="43">
        <v>5597842</v>
      </c>
      <c r="G11" s="43">
        <v>5560337</v>
      </c>
      <c r="H11" s="43">
        <v>3900840</v>
      </c>
      <c r="I11" s="43">
        <v>3791134</v>
      </c>
      <c r="J11" s="43">
        <v>3908065</v>
      </c>
      <c r="K11" s="43">
        <v>2524676</v>
      </c>
      <c r="L11" s="75">
        <v>3799956</v>
      </c>
      <c r="M11" s="75">
        <v>3615704</v>
      </c>
      <c r="N11" s="77">
        <v>3889917</v>
      </c>
      <c r="O11" s="77">
        <v>4043824</v>
      </c>
    </row>
    <row r="12" spans="1:15" x14ac:dyDescent="0.25">
      <c r="A12" s="2" t="s">
        <v>167</v>
      </c>
      <c r="B12" s="43">
        <v>1549669</v>
      </c>
      <c r="C12" s="43">
        <v>1924850</v>
      </c>
      <c r="D12" s="43">
        <v>1588102</v>
      </c>
      <c r="E12" s="43">
        <v>1710103</v>
      </c>
      <c r="F12" s="43">
        <v>1512559</v>
      </c>
      <c r="G12" s="43">
        <v>1188513</v>
      </c>
      <c r="H12" s="43">
        <v>575836</v>
      </c>
      <c r="I12" s="43">
        <v>713961</v>
      </c>
      <c r="J12" s="43">
        <v>674712</v>
      </c>
      <c r="K12" s="43">
        <v>280922</v>
      </c>
      <c r="L12" s="75">
        <v>444107</v>
      </c>
      <c r="M12" s="75">
        <v>504177</v>
      </c>
      <c r="N12" s="77">
        <v>560906</v>
      </c>
      <c r="O12" s="77">
        <v>536490</v>
      </c>
    </row>
    <row r="13" spans="1:15" x14ac:dyDescent="0.25">
      <c r="A13" s="2" t="s">
        <v>168</v>
      </c>
      <c r="B13" s="43">
        <v>68891</v>
      </c>
      <c r="C13" s="43">
        <v>60370</v>
      </c>
      <c r="D13" s="43">
        <v>74369</v>
      </c>
      <c r="E13" s="15">
        <v>53859</v>
      </c>
      <c r="F13" s="15">
        <v>62474</v>
      </c>
      <c r="G13" s="15">
        <v>24240</v>
      </c>
      <c r="H13" s="15">
        <v>46212</v>
      </c>
      <c r="I13" s="15">
        <v>48419</v>
      </c>
      <c r="J13" s="15">
        <v>37246</v>
      </c>
      <c r="K13" s="15">
        <v>69001</v>
      </c>
      <c r="L13" s="76">
        <v>45570</v>
      </c>
      <c r="M13" s="76">
        <v>56500</v>
      </c>
      <c r="N13" s="78">
        <v>56875</v>
      </c>
      <c r="O13" s="78">
        <v>43621</v>
      </c>
    </row>
    <row r="14" spans="1:15" x14ac:dyDescent="0.25">
      <c r="A14" s="2" t="s">
        <v>164</v>
      </c>
      <c r="B14" s="63">
        <f>SUM(B11:B13)</f>
        <v>7407658</v>
      </c>
      <c r="C14" s="63">
        <f>SUM(C11:C13)</f>
        <v>8436230</v>
      </c>
      <c r="D14" s="63">
        <f t="shared" ref="D14:O14" si="2">SUM(D11:D13)</f>
        <v>6975706</v>
      </c>
      <c r="E14" s="63">
        <f t="shared" si="2"/>
        <v>7691199</v>
      </c>
      <c r="F14" s="63">
        <f t="shared" si="2"/>
        <v>7172875</v>
      </c>
      <c r="G14" s="63">
        <f t="shared" si="2"/>
        <v>6773090</v>
      </c>
      <c r="H14" s="63">
        <f t="shared" si="2"/>
        <v>4522888</v>
      </c>
      <c r="I14" s="63">
        <f t="shared" si="2"/>
        <v>4553514</v>
      </c>
      <c r="J14" s="63">
        <f t="shared" si="2"/>
        <v>4620023</v>
      </c>
      <c r="K14" s="63">
        <f t="shared" si="2"/>
        <v>2874599</v>
      </c>
      <c r="L14" s="63">
        <f t="shared" si="2"/>
        <v>4289633</v>
      </c>
      <c r="M14" s="63">
        <f t="shared" si="2"/>
        <v>4176381</v>
      </c>
      <c r="N14" s="63">
        <f t="shared" si="2"/>
        <v>4507698</v>
      </c>
      <c r="O14" s="63">
        <f t="shared" si="2"/>
        <v>4623935</v>
      </c>
    </row>
    <row r="15" spans="1:15" x14ac:dyDescent="0.25">
      <c r="A15" s="12" t="s">
        <v>12</v>
      </c>
      <c r="B15" s="19">
        <f>B9-B14</f>
        <v>737145</v>
      </c>
      <c r="C15" s="19">
        <f>C9-C14</f>
        <v>875391</v>
      </c>
      <c r="D15" s="19">
        <f t="shared" ref="D15:O15" si="3">D9-D14</f>
        <v>710989</v>
      </c>
      <c r="E15" s="19">
        <f t="shared" si="3"/>
        <v>836560</v>
      </c>
      <c r="F15" s="19">
        <f t="shared" si="3"/>
        <v>815484</v>
      </c>
      <c r="G15" s="19">
        <f t="shared" si="3"/>
        <v>924509</v>
      </c>
      <c r="H15" s="19">
        <f t="shared" si="3"/>
        <v>641369</v>
      </c>
      <c r="I15" s="19">
        <f t="shared" si="3"/>
        <v>631430</v>
      </c>
      <c r="J15" s="19">
        <f t="shared" si="3"/>
        <v>752143</v>
      </c>
      <c r="K15" s="19">
        <f t="shared" si="3"/>
        <v>354183</v>
      </c>
      <c r="L15" s="19">
        <f t="shared" si="3"/>
        <v>672857</v>
      </c>
      <c r="M15" s="19">
        <f t="shared" si="3"/>
        <v>613647</v>
      </c>
      <c r="N15" s="19">
        <f t="shared" si="3"/>
        <v>693453</v>
      </c>
      <c r="O15" s="19">
        <f t="shared" si="3"/>
        <v>742383</v>
      </c>
    </row>
    <row r="16" spans="1:15" x14ac:dyDescent="0.25">
      <c r="A16" s="33" t="s">
        <v>157</v>
      </c>
      <c r="B16" s="80">
        <v>182869</v>
      </c>
      <c r="C16" s="80">
        <v>204473</v>
      </c>
      <c r="D16" s="80">
        <v>193775</v>
      </c>
      <c r="E16" s="34">
        <v>165968</v>
      </c>
      <c r="F16" s="34">
        <v>200033</v>
      </c>
      <c r="G16" s="34">
        <v>241731</v>
      </c>
      <c r="H16" s="34">
        <v>188220</v>
      </c>
      <c r="I16" s="34">
        <v>176445</v>
      </c>
      <c r="J16" s="34">
        <v>147195</v>
      </c>
      <c r="K16" s="34">
        <v>50950</v>
      </c>
      <c r="L16" s="34">
        <v>111907</v>
      </c>
      <c r="M16" s="34">
        <v>114033</v>
      </c>
      <c r="N16" s="34">
        <v>114131</v>
      </c>
      <c r="O16" s="34">
        <v>115959</v>
      </c>
    </row>
    <row r="17" spans="1:15" x14ac:dyDescent="0.25">
      <c r="A17" s="2" t="s">
        <v>59</v>
      </c>
      <c r="B17" s="43">
        <v>666041</v>
      </c>
      <c r="C17" s="43">
        <v>656740</v>
      </c>
      <c r="D17" s="43">
        <v>620935</v>
      </c>
      <c r="E17" s="15">
        <v>575930</v>
      </c>
      <c r="F17" s="15">
        <v>574286</v>
      </c>
      <c r="G17" s="15">
        <v>554069</v>
      </c>
      <c r="H17" s="15">
        <v>506824</v>
      </c>
      <c r="I17" s="15">
        <v>430781</v>
      </c>
      <c r="J17" s="15">
        <v>441923</v>
      </c>
      <c r="K17" s="15">
        <v>324891</v>
      </c>
      <c r="L17" s="102">
        <v>484728</v>
      </c>
      <c r="M17" s="102">
        <v>484848</v>
      </c>
      <c r="N17" s="104">
        <v>480831</v>
      </c>
      <c r="O17" s="104">
        <v>489660</v>
      </c>
    </row>
    <row r="18" spans="1:15" x14ac:dyDescent="0.25">
      <c r="A18" s="2" t="s">
        <v>169</v>
      </c>
      <c r="B18" s="43">
        <v>57692</v>
      </c>
      <c r="C18" s="43">
        <v>55648</v>
      </c>
      <c r="D18" s="43">
        <v>54849</v>
      </c>
      <c r="E18" s="15">
        <v>54428</v>
      </c>
      <c r="F18" s="15">
        <v>52789</v>
      </c>
      <c r="G18" s="15">
        <v>49890</v>
      </c>
      <c r="H18" s="79">
        <v>49230</v>
      </c>
      <c r="I18" s="79">
        <v>48016</v>
      </c>
      <c r="J18" s="79">
        <v>48285</v>
      </c>
      <c r="K18" s="79">
        <v>48825</v>
      </c>
      <c r="L18" s="102"/>
      <c r="M18" s="102"/>
      <c r="N18" s="104"/>
      <c r="O18" s="104"/>
    </row>
    <row r="19" spans="1:15" x14ac:dyDescent="0.25">
      <c r="A19" s="2" t="s">
        <v>3</v>
      </c>
      <c r="B19" s="43">
        <v>32745</v>
      </c>
      <c r="C19" s="43">
        <v>28775</v>
      </c>
      <c r="D19" s="43">
        <v>26848</v>
      </c>
      <c r="E19" s="15">
        <v>24303</v>
      </c>
      <c r="F19" s="15">
        <v>22410</v>
      </c>
      <c r="G19" s="15">
        <v>20534</v>
      </c>
      <c r="H19" s="15">
        <v>20289</v>
      </c>
      <c r="I19" s="15">
        <v>19462</v>
      </c>
      <c r="J19" s="15">
        <v>22469</v>
      </c>
      <c r="K19" s="15">
        <v>23958</v>
      </c>
      <c r="L19" s="15">
        <v>22307</v>
      </c>
      <c r="M19" s="15">
        <v>21843</v>
      </c>
      <c r="N19" s="14">
        <v>21073</v>
      </c>
      <c r="O19" s="14">
        <v>17784</v>
      </c>
    </row>
    <row r="20" spans="1:15" x14ac:dyDescent="0.25">
      <c r="A20" s="2" t="s">
        <v>66</v>
      </c>
      <c r="B20" s="43">
        <v>-4039</v>
      </c>
      <c r="C20" s="43">
        <v>2099</v>
      </c>
      <c r="D20" s="43">
        <v>885</v>
      </c>
      <c r="E20" s="15">
        <v>-8094</v>
      </c>
      <c r="F20" s="15">
        <v>-1782</v>
      </c>
      <c r="G20" s="15">
        <v>-25577</v>
      </c>
      <c r="H20" s="15">
        <v>-9003</v>
      </c>
      <c r="I20" s="15">
        <v>-887</v>
      </c>
      <c r="J20" s="15">
        <v>-1680</v>
      </c>
      <c r="K20" s="15">
        <v>3295</v>
      </c>
      <c r="L20" s="15">
        <v>1096</v>
      </c>
      <c r="M20" s="15">
        <v>-6570</v>
      </c>
      <c r="N20" s="14">
        <v>143</v>
      </c>
      <c r="O20" s="14">
        <v>-359</v>
      </c>
    </row>
    <row r="21" spans="1:15" x14ac:dyDescent="0.25">
      <c r="A21" s="2" t="s">
        <v>60</v>
      </c>
      <c r="B21" s="18">
        <f>B15+B16-SUM(B17:B20)</f>
        <v>167575</v>
      </c>
      <c r="C21" s="18">
        <f>C15+C16-SUM(C17:C20)</f>
        <v>336602</v>
      </c>
      <c r="D21" s="18">
        <f t="shared" ref="D21:O21" si="4">D15+D16-SUM(D17:D20)</f>
        <v>201247</v>
      </c>
      <c r="E21" s="18">
        <f t="shared" ref="E21:J21" si="5">E15+E16-SUM(E17:E20)</f>
        <v>355961</v>
      </c>
      <c r="F21" s="18">
        <f t="shared" si="5"/>
        <v>367814</v>
      </c>
      <c r="G21" s="18">
        <f t="shared" si="5"/>
        <v>567324</v>
      </c>
      <c r="H21" s="18">
        <f t="shared" si="5"/>
        <v>262249</v>
      </c>
      <c r="I21" s="18">
        <f t="shared" si="5"/>
        <v>310503</v>
      </c>
      <c r="J21" s="18">
        <f t="shared" si="5"/>
        <v>388341</v>
      </c>
      <c r="K21" s="18">
        <f t="shared" si="4"/>
        <v>4164</v>
      </c>
      <c r="L21" s="18">
        <f t="shared" si="4"/>
        <v>276633</v>
      </c>
      <c r="M21" s="18">
        <f t="shared" si="4"/>
        <v>227559</v>
      </c>
      <c r="N21" s="18">
        <f t="shared" si="4"/>
        <v>305537</v>
      </c>
      <c r="O21" s="18">
        <f t="shared" si="4"/>
        <v>351257</v>
      </c>
    </row>
    <row r="22" spans="1:15" x14ac:dyDescent="0.25">
      <c r="A22" s="2" t="s">
        <v>61</v>
      </c>
      <c r="B22" s="43">
        <v>41670</v>
      </c>
      <c r="C22" s="43">
        <v>84337</v>
      </c>
      <c r="D22" s="43">
        <v>41411</v>
      </c>
      <c r="E22" s="15">
        <v>86523</v>
      </c>
      <c r="F22" s="15">
        <v>82547</v>
      </c>
      <c r="G22" s="15">
        <v>130568</v>
      </c>
      <c r="H22" s="15">
        <v>52304</v>
      </c>
      <c r="I22" s="15">
        <v>75203</v>
      </c>
      <c r="J22" s="15">
        <v>91645</v>
      </c>
      <c r="K22" s="15">
        <v>-814</v>
      </c>
      <c r="L22" s="15">
        <v>61699</v>
      </c>
      <c r="M22" s="15">
        <v>54403</v>
      </c>
      <c r="N22" s="14">
        <v>71938</v>
      </c>
      <c r="O22" s="14">
        <v>84513</v>
      </c>
    </row>
    <row r="23" spans="1:15" ht="20" thickBot="1" x14ac:dyDescent="0.3">
      <c r="A23" s="12" t="s">
        <v>62</v>
      </c>
      <c r="B23" s="17">
        <f>B21-B22</f>
        <v>125905</v>
      </c>
      <c r="C23" s="17">
        <f>C21-C22</f>
        <v>252265</v>
      </c>
      <c r="D23" s="17">
        <f t="shared" ref="D23:O23" si="6">D21-D22</f>
        <v>159836</v>
      </c>
      <c r="E23" s="17">
        <f t="shared" si="6"/>
        <v>269438</v>
      </c>
      <c r="F23" s="17">
        <f t="shared" si="6"/>
        <v>285267</v>
      </c>
      <c r="G23" s="17">
        <f t="shared" si="6"/>
        <v>436756</v>
      </c>
      <c r="H23" s="17">
        <f t="shared" si="6"/>
        <v>209945</v>
      </c>
      <c r="I23" s="17">
        <f t="shared" si="6"/>
        <v>235300</v>
      </c>
      <c r="J23" s="17">
        <f t="shared" si="6"/>
        <v>296696</v>
      </c>
      <c r="K23" s="17">
        <f t="shared" si="6"/>
        <v>4978</v>
      </c>
      <c r="L23" s="17">
        <f t="shared" si="6"/>
        <v>214934</v>
      </c>
      <c r="M23" s="17">
        <f t="shared" si="6"/>
        <v>173156</v>
      </c>
      <c r="N23" s="17">
        <f t="shared" si="6"/>
        <v>233599</v>
      </c>
      <c r="O23" s="17">
        <f t="shared" si="6"/>
        <v>266744</v>
      </c>
    </row>
    <row r="24" spans="1:15" ht="20" thickTop="1" x14ac:dyDescent="0.25">
      <c r="B24" s="43"/>
      <c r="C24" s="43"/>
      <c r="D24" s="43"/>
      <c r="E24" s="43"/>
      <c r="F24" s="43"/>
      <c r="G24" s="43"/>
      <c r="H24" s="43"/>
      <c r="I24" s="43"/>
      <c r="J24" s="43"/>
      <c r="K24" s="15"/>
      <c r="L24" s="15"/>
      <c r="M24" s="15"/>
      <c r="N24" s="14"/>
      <c r="O24" s="14"/>
    </row>
    <row r="25" spans="1:15" x14ac:dyDescent="0.25">
      <c r="A25" s="2" t="s">
        <v>63</v>
      </c>
      <c r="B25" s="43">
        <v>160218</v>
      </c>
      <c r="C25" s="43">
        <v>161798</v>
      </c>
      <c r="D25" s="43">
        <v>163869</v>
      </c>
      <c r="E25" s="43">
        <v>164873</v>
      </c>
      <c r="F25" s="43">
        <v>165643</v>
      </c>
      <c r="G25" s="43">
        <v>166295</v>
      </c>
      <c r="H25" s="43">
        <v>165596</v>
      </c>
      <c r="I25" s="43">
        <v>165773</v>
      </c>
      <c r="J25" s="43">
        <v>165623</v>
      </c>
      <c r="K25" s="15">
        <v>163537</v>
      </c>
      <c r="L25" s="15">
        <v>165810</v>
      </c>
      <c r="M25" s="15">
        <v>166534</v>
      </c>
      <c r="N25" s="14">
        <v>167272</v>
      </c>
      <c r="O25" s="14">
        <v>167643</v>
      </c>
    </row>
    <row r="26" spans="1:15" x14ac:dyDescent="0.25">
      <c r="A26" s="2" t="s">
        <v>64</v>
      </c>
      <c r="B26" s="81">
        <f>B23/B25</f>
        <v>0.78583554906439979</v>
      </c>
      <c r="C26" s="81">
        <f>C23/C25</f>
        <v>1.559135465209706</v>
      </c>
      <c r="D26" s="81">
        <f t="shared" ref="D26:O26" si="7">D23/D25</f>
        <v>0.97538887770109051</v>
      </c>
      <c r="E26" s="81">
        <f t="shared" si="7"/>
        <v>1.6342154264191227</v>
      </c>
      <c r="F26" s="81">
        <f t="shared" si="7"/>
        <v>1.7221796272706966</v>
      </c>
      <c r="G26" s="81">
        <f t="shared" si="7"/>
        <v>2.6263928560690339</v>
      </c>
      <c r="H26" s="81">
        <f t="shared" si="7"/>
        <v>1.2678144399623179</v>
      </c>
      <c r="I26" s="81">
        <f t="shared" si="7"/>
        <v>1.4194108811446979</v>
      </c>
      <c r="J26" s="81">
        <f t="shared" si="7"/>
        <v>1.791393707395712</v>
      </c>
      <c r="K26" s="81">
        <f t="shared" si="7"/>
        <v>3.0439594709454131E-2</v>
      </c>
      <c r="L26" s="81">
        <f t="shared" si="7"/>
        <v>1.2962668114106508</v>
      </c>
      <c r="M26" s="81">
        <f t="shared" si="7"/>
        <v>1.039763651866886</v>
      </c>
      <c r="N26" s="81">
        <f t="shared" si="7"/>
        <v>1.3965218327036204</v>
      </c>
      <c r="O26" s="81">
        <f t="shared" si="7"/>
        <v>1.5911430838150116</v>
      </c>
    </row>
    <row r="27" spans="1:15" x14ac:dyDescent="0.25">
      <c r="B27" s="81"/>
      <c r="C27" s="81"/>
      <c r="D27" s="43"/>
      <c r="E27" s="43"/>
      <c r="F27" s="43"/>
      <c r="G27" s="43"/>
      <c r="H27" s="43"/>
      <c r="I27" s="43"/>
      <c r="J27" s="43"/>
      <c r="K27" s="15"/>
      <c r="L27" s="15"/>
      <c r="M27" s="15"/>
      <c r="N27" s="14"/>
      <c r="O27" s="14"/>
    </row>
    <row r="28" spans="1:15" s="12" customFormat="1" x14ac:dyDescent="0.25">
      <c r="A28" s="12" t="s">
        <v>67</v>
      </c>
      <c r="B28" s="90">
        <f>B15/B9</f>
        <v>9.0504951439586687E-2</v>
      </c>
      <c r="C28" s="90">
        <f>C15/C9</f>
        <v>9.4010591711153196E-2</v>
      </c>
      <c r="D28" s="90">
        <f t="shared" ref="D28:O28" si="8">D15/D9</f>
        <v>9.2496059749996584E-2</v>
      </c>
      <c r="E28" s="90">
        <f t="shared" si="8"/>
        <v>9.8098457050674159E-2</v>
      </c>
      <c r="F28" s="90">
        <f t="shared" si="8"/>
        <v>0.10208404504604764</v>
      </c>
      <c r="G28" s="90">
        <f t="shared" si="8"/>
        <v>0.12010355436805685</v>
      </c>
      <c r="H28" s="90">
        <f t="shared" si="8"/>
        <v>0.12419385789669259</v>
      </c>
      <c r="I28" s="90">
        <f t="shared" si="8"/>
        <v>0.12178145029145927</v>
      </c>
      <c r="J28" s="90">
        <f t="shared" si="8"/>
        <v>0.14000740111158144</v>
      </c>
      <c r="K28" s="90">
        <f t="shared" si="8"/>
        <v>0.10969554463571712</v>
      </c>
      <c r="L28" s="90">
        <f t="shared" si="8"/>
        <v>0.13558858556893819</v>
      </c>
      <c r="M28" s="90">
        <f t="shared" si="8"/>
        <v>0.12810927201260619</v>
      </c>
      <c r="N28" s="90">
        <f t="shared" si="8"/>
        <v>0.13332683477176493</v>
      </c>
      <c r="O28" s="90">
        <f t="shared" si="8"/>
        <v>0.13834122390808745</v>
      </c>
    </row>
    <row r="29" spans="1:15" s="12" customFormat="1" x14ac:dyDescent="0.25">
      <c r="A29" s="12" t="s">
        <v>68</v>
      </c>
      <c r="B29" s="90">
        <f>B23/B9</f>
        <v>1.545832354692925E-2</v>
      </c>
      <c r="C29" s="90">
        <f>C23/C9</f>
        <v>2.7091416199177352E-2</v>
      </c>
      <c r="D29" s="90">
        <f t="shared" ref="D29:O29" si="9">D23/D9</f>
        <v>2.0793852234282744E-2</v>
      </c>
      <c r="E29" s="90">
        <f t="shared" si="9"/>
        <v>3.1595405076527139E-2</v>
      </c>
      <c r="F29" s="90">
        <f t="shared" si="9"/>
        <v>3.5710338005590384E-2</v>
      </c>
      <c r="G29" s="90">
        <f t="shared" si="9"/>
        <v>5.6739250771571756E-2</v>
      </c>
      <c r="H29" s="90">
        <f t="shared" si="9"/>
        <v>4.0653476385857638E-2</v>
      </c>
      <c r="I29" s="90">
        <f t="shared" si="9"/>
        <v>4.5381396597533166E-2</v>
      </c>
      <c r="J29" s="90">
        <f t="shared" si="9"/>
        <v>5.5228375295923469E-2</v>
      </c>
      <c r="K29" s="90">
        <f t="shared" si="9"/>
        <v>1.5417578517224141E-3</v>
      </c>
      <c r="L29" s="90">
        <f t="shared" si="9"/>
        <v>4.3311724557631354E-2</v>
      </c>
      <c r="M29" s="90">
        <f t="shared" si="9"/>
        <v>3.6149266768377972E-2</v>
      </c>
      <c r="N29" s="90">
        <f t="shared" si="9"/>
        <v>4.4912943308125453E-2</v>
      </c>
      <c r="O29" s="90">
        <f t="shared" si="9"/>
        <v>4.9707080348201503E-2</v>
      </c>
    </row>
    <row r="30" spans="1:15" x14ac:dyDescent="0.25">
      <c r="B30" s="43"/>
      <c r="C30" s="43"/>
      <c r="D30" s="43"/>
      <c r="E30" s="15"/>
      <c r="F30" s="15"/>
      <c r="G30" s="15"/>
      <c r="H30" s="15"/>
      <c r="I30" s="15"/>
      <c r="J30" s="15"/>
      <c r="K30" s="15"/>
      <c r="L30" s="15"/>
      <c r="M30" s="15"/>
      <c r="N30" s="14"/>
      <c r="O30" s="14"/>
    </row>
    <row r="31" spans="1:15" x14ac:dyDescent="0.25">
      <c r="A31" s="2" t="s">
        <v>158</v>
      </c>
      <c r="B31" s="82">
        <f>B16/B21</f>
        <v>1.0912665970460989</v>
      </c>
      <c r="C31" s="82">
        <f>C16/C21</f>
        <v>0.60746222541755546</v>
      </c>
      <c r="D31" s="82">
        <f t="shared" ref="D31:O31" si="10">D16/D21</f>
        <v>0.96287149622106172</v>
      </c>
      <c r="E31" s="82">
        <f t="shared" si="10"/>
        <v>0.46625332550476034</v>
      </c>
      <c r="F31" s="82">
        <f t="shared" si="10"/>
        <v>0.54384281185599248</v>
      </c>
      <c r="G31" s="82">
        <f t="shared" si="10"/>
        <v>0.42608985341709499</v>
      </c>
      <c r="H31" s="82">
        <f t="shared" si="10"/>
        <v>0.71771484352657211</v>
      </c>
      <c r="I31" s="82">
        <f t="shared" si="10"/>
        <v>0.5682553791750804</v>
      </c>
      <c r="J31" s="82">
        <f t="shared" si="10"/>
        <v>0.37903543535192008</v>
      </c>
      <c r="K31" s="82">
        <f>K16/K21</f>
        <v>12.23583093179635</v>
      </c>
      <c r="L31" s="82">
        <f t="shared" si="10"/>
        <v>0.40453235875690896</v>
      </c>
      <c r="M31" s="82">
        <f t="shared" si="10"/>
        <v>0.50111399680961866</v>
      </c>
      <c r="N31" s="82">
        <f t="shared" si="10"/>
        <v>0.3735423205700128</v>
      </c>
      <c r="O31" s="82">
        <f t="shared" si="10"/>
        <v>0.33012580532202918</v>
      </c>
    </row>
    <row r="32" spans="1:15" x14ac:dyDescent="0.25">
      <c r="B32" s="43"/>
      <c r="C32" s="43"/>
      <c r="D32" s="43"/>
      <c r="E32" s="15"/>
      <c r="F32" s="15"/>
      <c r="G32" s="15"/>
      <c r="H32" s="15"/>
      <c r="I32" s="15"/>
      <c r="J32" s="15"/>
      <c r="K32" s="15"/>
      <c r="L32" s="15"/>
      <c r="M32" s="15"/>
      <c r="N32" s="14"/>
      <c r="O32" s="14"/>
    </row>
    <row r="33" spans="1:15" x14ac:dyDescent="0.25">
      <c r="A33" s="2" t="s">
        <v>69</v>
      </c>
      <c r="B33" s="53">
        <f>B17/B9</f>
        <v>8.1774967424012593E-2</v>
      </c>
      <c r="C33" s="53">
        <f>C17/C9</f>
        <v>7.0529073294542374E-2</v>
      </c>
      <c r="D33" s="53">
        <f t="shared" ref="D33:O33" si="11">D17/D9</f>
        <v>8.0780491485612477E-2</v>
      </c>
      <c r="E33" s="53">
        <f t="shared" si="11"/>
        <v>6.753591418331592E-2</v>
      </c>
      <c r="F33" s="53">
        <f t="shared" si="11"/>
        <v>7.1890359459308231E-2</v>
      </c>
      <c r="G33" s="53">
        <f t="shared" si="11"/>
        <v>7.1979457490575952E-2</v>
      </c>
      <c r="H33" s="53">
        <f t="shared" si="11"/>
        <v>9.8140739316420547E-2</v>
      </c>
      <c r="I33" s="53">
        <f t="shared" si="11"/>
        <v>8.3083057406213065E-2</v>
      </c>
      <c r="J33" s="53">
        <f t="shared" si="11"/>
        <v>8.2261605467887633E-2</v>
      </c>
      <c r="K33" s="53">
        <f t="shared" si="11"/>
        <v>0.10062339296985674</v>
      </c>
      <c r="L33" s="53">
        <f t="shared" si="11"/>
        <v>9.767838323099895E-2</v>
      </c>
      <c r="M33" s="53">
        <f t="shared" si="11"/>
        <v>0.10122028514238331</v>
      </c>
      <c r="N33" s="53">
        <f t="shared" si="11"/>
        <v>9.244703720388045E-2</v>
      </c>
      <c r="O33" s="53">
        <f t="shared" si="11"/>
        <v>9.124692200499486E-2</v>
      </c>
    </row>
    <row r="34" spans="1:15" x14ac:dyDescent="0.25">
      <c r="B34" s="53"/>
      <c r="C34" s="53"/>
      <c r="D34" s="43"/>
      <c r="E34" s="15"/>
      <c r="F34" s="15"/>
      <c r="G34" s="15"/>
      <c r="H34" s="15"/>
      <c r="I34" s="15"/>
      <c r="J34" s="15"/>
      <c r="K34" s="15"/>
      <c r="L34" s="15"/>
      <c r="M34" s="15"/>
      <c r="N34" s="14"/>
      <c r="O34" s="14"/>
    </row>
    <row r="35" spans="1:15" x14ac:dyDescent="0.25">
      <c r="A35" s="2" t="s">
        <v>70</v>
      </c>
      <c r="B35" s="82"/>
      <c r="C35" s="82"/>
      <c r="D35" s="43"/>
      <c r="E35" s="21"/>
      <c r="F35" s="21"/>
      <c r="G35" s="21"/>
      <c r="H35" s="21"/>
      <c r="I35" s="21"/>
      <c r="J35" s="21"/>
      <c r="K35" s="21"/>
      <c r="L35" s="21"/>
      <c r="M35" s="21"/>
      <c r="N35" s="21"/>
      <c r="O35" s="21"/>
    </row>
    <row r="36" spans="1:15" x14ac:dyDescent="0.25">
      <c r="B36" s="43"/>
      <c r="C36" s="43"/>
      <c r="D36" s="43"/>
      <c r="E36" s="43"/>
      <c r="F36" s="43"/>
      <c r="G36" s="43"/>
      <c r="H36" s="43"/>
      <c r="I36" s="43"/>
      <c r="J36" s="43"/>
      <c r="K36" s="15"/>
      <c r="L36" s="15"/>
      <c r="M36" s="15"/>
      <c r="N36" s="14"/>
      <c r="O36" s="14"/>
    </row>
    <row r="37" spans="1:15" x14ac:dyDescent="0.25">
      <c r="A37" s="12" t="s">
        <v>96</v>
      </c>
      <c r="B37" s="43"/>
      <c r="C37" s="43"/>
      <c r="D37" s="43"/>
      <c r="E37" s="43"/>
      <c r="F37" s="43"/>
      <c r="G37" s="43"/>
      <c r="H37" s="43"/>
      <c r="I37" s="43"/>
      <c r="J37" s="43"/>
      <c r="K37" s="15"/>
      <c r="L37" s="15"/>
      <c r="M37" s="15"/>
      <c r="N37" s="14"/>
      <c r="O37" s="14"/>
    </row>
    <row r="38" spans="1:15" x14ac:dyDescent="0.25">
      <c r="A38" s="2" t="s">
        <v>104</v>
      </c>
      <c r="B38" s="43">
        <v>216939</v>
      </c>
      <c r="C38" s="43">
        <v>240950</v>
      </c>
      <c r="D38" s="43">
        <v>194318</v>
      </c>
      <c r="E38" s="43">
        <v>227424</v>
      </c>
      <c r="F38" s="43">
        <v>231797</v>
      </c>
      <c r="G38" s="43">
        <v>270799</v>
      </c>
      <c r="H38" s="43">
        <v>204928</v>
      </c>
      <c r="I38" s="43">
        <v>194576</v>
      </c>
      <c r="J38" s="43">
        <v>217330</v>
      </c>
      <c r="K38" s="15">
        <v>135028</v>
      </c>
      <c r="L38" s="15">
        <v>206718</v>
      </c>
      <c r="M38" s="15">
        <v>192563</v>
      </c>
      <c r="N38" s="14">
        <v>209091</v>
      </c>
      <c r="O38" s="14">
        <v>224268</v>
      </c>
    </row>
    <row r="39" spans="1:15" x14ac:dyDescent="0.25">
      <c r="A39" s="2" t="s">
        <v>97</v>
      </c>
      <c r="B39" s="43">
        <v>159677</v>
      </c>
      <c r="C39" s="43">
        <v>186307</v>
      </c>
      <c r="D39" s="43">
        <v>149095</v>
      </c>
      <c r="E39" s="43">
        <v>187630</v>
      </c>
      <c r="F39" s="43">
        <v>188098</v>
      </c>
      <c r="G39" s="43">
        <v>181389</v>
      </c>
      <c r="H39" s="43">
        <v>103676</v>
      </c>
      <c r="I39" s="43">
        <v>126317</v>
      </c>
      <c r="J39" s="43">
        <v>132980</v>
      </c>
      <c r="K39" s="15">
        <v>63295</v>
      </c>
      <c r="L39" s="15">
        <v>104900</v>
      </c>
      <c r="M39" s="15">
        <v>113996</v>
      </c>
      <c r="N39" s="14">
        <v>126513</v>
      </c>
      <c r="O39" s="14">
        <v>120768</v>
      </c>
    </row>
    <row r="40" spans="1:15" ht="20" thickBot="1" x14ac:dyDescent="0.3">
      <c r="A40" s="12" t="s">
        <v>98</v>
      </c>
      <c r="B40" s="17">
        <f t="shared" ref="B40" si="12">SUM(B38:B39)</f>
        <v>376616</v>
      </c>
      <c r="C40" s="17">
        <f t="shared" ref="C40:O40" si="13">SUM(C38:C39)</f>
        <v>427257</v>
      </c>
      <c r="D40" s="17">
        <f t="shared" si="13"/>
        <v>343413</v>
      </c>
      <c r="E40" s="17">
        <f t="shared" si="13"/>
        <v>415054</v>
      </c>
      <c r="F40" s="17">
        <f t="shared" si="13"/>
        <v>419895</v>
      </c>
      <c r="G40" s="17">
        <f t="shared" si="13"/>
        <v>452188</v>
      </c>
      <c r="H40" s="17">
        <f t="shared" si="13"/>
        <v>308604</v>
      </c>
      <c r="I40" s="17">
        <f t="shared" si="13"/>
        <v>320893</v>
      </c>
      <c r="J40" s="17">
        <f t="shared" si="13"/>
        <v>350310</v>
      </c>
      <c r="K40" s="17">
        <f t="shared" si="13"/>
        <v>198323</v>
      </c>
      <c r="L40" s="17">
        <f t="shared" si="13"/>
        <v>311618</v>
      </c>
      <c r="M40" s="17">
        <f t="shared" si="13"/>
        <v>306559</v>
      </c>
      <c r="N40" s="17">
        <f t="shared" si="13"/>
        <v>335604</v>
      </c>
      <c r="O40" s="17">
        <f t="shared" si="13"/>
        <v>345036</v>
      </c>
    </row>
    <row r="41" spans="1:15" ht="20" thickTop="1" x14ac:dyDescent="0.25">
      <c r="B41" s="43"/>
      <c r="C41" s="43"/>
      <c r="D41" s="43"/>
      <c r="E41" s="43"/>
      <c r="F41" s="43"/>
      <c r="G41" s="43"/>
      <c r="H41" s="43"/>
      <c r="I41" s="43"/>
      <c r="J41" s="43"/>
      <c r="K41" s="15"/>
      <c r="L41" s="15"/>
      <c r="M41" s="15"/>
      <c r="N41" s="14"/>
      <c r="O41" s="14"/>
    </row>
    <row r="42" spans="1:15" x14ac:dyDescent="0.25">
      <c r="A42" s="12" t="s">
        <v>99</v>
      </c>
      <c r="B42" s="43"/>
      <c r="C42" s="43"/>
      <c r="D42" s="43"/>
      <c r="E42" s="43"/>
      <c r="F42" s="43"/>
      <c r="G42" s="43"/>
      <c r="H42" s="43"/>
      <c r="I42" s="43"/>
      <c r="J42" s="43"/>
      <c r="K42" s="15"/>
      <c r="L42" s="15"/>
      <c r="M42" s="15"/>
      <c r="N42" s="14"/>
      <c r="O42" s="14"/>
    </row>
    <row r="43" spans="1:15" x14ac:dyDescent="0.25">
      <c r="A43" s="2" t="s">
        <v>100</v>
      </c>
      <c r="B43" s="43">
        <v>28657</v>
      </c>
      <c r="C43" s="43">
        <v>28844</v>
      </c>
      <c r="D43" s="43">
        <v>29312</v>
      </c>
      <c r="E43" s="43">
        <v>27995</v>
      </c>
      <c r="F43" s="43">
        <v>26141</v>
      </c>
      <c r="G43" s="43">
        <v>22533</v>
      </c>
      <c r="H43" s="43">
        <v>20980</v>
      </c>
      <c r="I43" s="43">
        <v>21402</v>
      </c>
      <c r="J43" s="43">
        <v>19991</v>
      </c>
      <c r="K43" s="15">
        <v>20346</v>
      </c>
      <c r="L43" s="15">
        <v>20380</v>
      </c>
      <c r="M43" s="15">
        <v>20710</v>
      </c>
      <c r="N43" s="14">
        <v>20581</v>
      </c>
      <c r="O43" s="14">
        <v>20050</v>
      </c>
    </row>
    <row r="44" spans="1:15" x14ac:dyDescent="0.25">
      <c r="A44" s="2" t="s">
        <v>101</v>
      </c>
      <c r="B44" s="43">
        <v>10179</v>
      </c>
      <c r="C44" s="43">
        <v>10996</v>
      </c>
      <c r="D44" s="43">
        <v>11495</v>
      </c>
      <c r="E44" s="43">
        <v>9890</v>
      </c>
      <c r="F44" s="43">
        <v>8701</v>
      </c>
      <c r="G44" s="43">
        <v>7266</v>
      </c>
      <c r="H44" s="43">
        <v>6207</v>
      </c>
      <c r="I44" s="43">
        <v>6245</v>
      </c>
      <c r="J44" s="43">
        <v>5891</v>
      </c>
      <c r="K44" s="15">
        <v>5110</v>
      </c>
      <c r="L44" s="15">
        <v>4954</v>
      </c>
      <c r="M44" s="15">
        <v>5079</v>
      </c>
      <c r="N44" s="14">
        <v>5090</v>
      </c>
      <c r="O44" s="14">
        <v>5213</v>
      </c>
    </row>
    <row r="45" spans="1:15" x14ac:dyDescent="0.25">
      <c r="B45" s="43"/>
      <c r="C45" s="43"/>
      <c r="D45" s="43"/>
      <c r="E45" s="43"/>
      <c r="F45" s="43"/>
      <c r="G45" s="43"/>
      <c r="H45" s="43"/>
      <c r="I45" s="43"/>
      <c r="J45" s="43"/>
      <c r="K45" s="15"/>
      <c r="L45" s="15"/>
      <c r="M45" s="15"/>
      <c r="N45" s="14"/>
      <c r="O45" s="14"/>
    </row>
    <row r="46" spans="1:15" x14ac:dyDescent="0.25">
      <c r="A46" s="12" t="s">
        <v>105</v>
      </c>
      <c r="B46" s="43"/>
      <c r="C46" s="43"/>
      <c r="D46" s="43"/>
      <c r="E46" s="43"/>
      <c r="F46" s="43"/>
      <c r="G46" s="43"/>
      <c r="H46" s="43"/>
      <c r="I46" s="43"/>
      <c r="J46" s="43"/>
      <c r="K46" s="15"/>
      <c r="L46" s="15"/>
      <c r="M46" s="15"/>
      <c r="N46" s="14"/>
      <c r="O46" s="14"/>
    </row>
    <row r="47" spans="1:15" x14ac:dyDescent="0.25">
      <c r="A47" s="2" t="s">
        <v>106</v>
      </c>
      <c r="B47" s="43">
        <v>2282</v>
      </c>
      <c r="C47" s="43">
        <v>2339</v>
      </c>
      <c r="D47" s="43">
        <v>2195</v>
      </c>
      <c r="E47" s="43">
        <v>2235</v>
      </c>
      <c r="F47" s="43">
        <v>2185</v>
      </c>
      <c r="G47" s="43">
        <v>2205</v>
      </c>
      <c r="H47" s="43">
        <v>2086</v>
      </c>
      <c r="I47" s="43">
        <v>2151</v>
      </c>
      <c r="J47" s="43">
        <v>2214</v>
      </c>
      <c r="K47" s="15">
        <v>1937</v>
      </c>
      <c r="L47" s="15">
        <v>2195</v>
      </c>
      <c r="M47" s="15">
        <v>2145</v>
      </c>
      <c r="N47" s="14">
        <v>2183</v>
      </c>
      <c r="O47" s="14">
        <v>2215</v>
      </c>
    </row>
    <row r="48" spans="1:15" x14ac:dyDescent="0.25">
      <c r="A48" s="2" t="s">
        <v>107</v>
      </c>
      <c r="B48" s="43">
        <v>881</v>
      </c>
      <c r="C48" s="43">
        <v>1029</v>
      </c>
      <c r="D48" s="43">
        <v>1191</v>
      </c>
      <c r="E48" s="43">
        <v>1131</v>
      </c>
      <c r="F48" s="43">
        <v>1005</v>
      </c>
      <c r="G48" s="43">
        <v>1025</v>
      </c>
      <c r="H48" s="43">
        <v>990</v>
      </c>
      <c r="I48" s="43">
        <v>906</v>
      </c>
      <c r="J48" s="43">
        <v>1086</v>
      </c>
      <c r="K48" s="15">
        <v>978</v>
      </c>
      <c r="L48" s="15">
        <v>993</v>
      </c>
      <c r="M48" s="15">
        <v>937</v>
      </c>
      <c r="N48" s="14">
        <v>928</v>
      </c>
      <c r="O48" s="14">
        <v>1043</v>
      </c>
    </row>
    <row r="49" spans="1:15" x14ac:dyDescent="0.25">
      <c r="B49" s="43"/>
      <c r="C49" s="43"/>
      <c r="D49" s="43"/>
      <c r="E49" s="15"/>
      <c r="F49" s="15"/>
      <c r="G49" s="15"/>
      <c r="H49" s="15"/>
      <c r="I49" s="15"/>
      <c r="J49" s="15"/>
      <c r="K49" s="15"/>
      <c r="L49" s="15"/>
      <c r="M49" s="15"/>
      <c r="N49" s="14"/>
      <c r="O49" s="14"/>
    </row>
    <row r="50" spans="1:15" x14ac:dyDescent="0.25">
      <c r="A50" s="12" t="s">
        <v>204</v>
      </c>
      <c r="B50" s="43"/>
      <c r="C50" s="43"/>
      <c r="D50" s="43"/>
      <c r="E50" s="15"/>
      <c r="F50" s="15"/>
      <c r="G50" s="15"/>
      <c r="H50" s="15"/>
      <c r="I50" s="15"/>
      <c r="J50" s="15"/>
      <c r="K50" s="15"/>
      <c r="L50" s="15"/>
      <c r="M50" s="15"/>
      <c r="N50" s="14"/>
      <c r="O50" s="14"/>
    </row>
    <row r="51" spans="1:15" x14ac:dyDescent="0.25">
      <c r="A51" s="2" t="s">
        <v>171</v>
      </c>
      <c r="B51" s="53">
        <f>B47/B43</f>
        <v>7.9631503646578491E-2</v>
      </c>
      <c r="C51" s="53">
        <f>C47/C43</f>
        <v>8.1091388156982386E-2</v>
      </c>
      <c r="D51" s="53">
        <f t="shared" ref="D51:O51" si="14">D47/D43</f>
        <v>7.4884006550218346E-2</v>
      </c>
      <c r="E51" s="53">
        <f t="shared" si="14"/>
        <v>7.9835684943739951E-2</v>
      </c>
      <c r="F51" s="53">
        <f t="shared" si="14"/>
        <v>8.3585172717187559E-2</v>
      </c>
      <c r="G51" s="53">
        <f t="shared" si="14"/>
        <v>9.7856477166821998E-2</v>
      </c>
      <c r="H51" s="53">
        <f t="shared" si="14"/>
        <v>9.9428026692087709E-2</v>
      </c>
      <c r="I51" s="53">
        <f t="shared" si="14"/>
        <v>0.10050462573591253</v>
      </c>
      <c r="J51" s="53">
        <f t="shared" si="14"/>
        <v>0.11074983742684208</v>
      </c>
      <c r="K51" s="53">
        <f>K47/K43</f>
        <v>9.5202988302369021E-2</v>
      </c>
      <c r="L51" s="53">
        <f t="shared" si="14"/>
        <v>0.1077036310107949</v>
      </c>
      <c r="M51" s="53">
        <f t="shared" si="14"/>
        <v>0.10357315306615161</v>
      </c>
      <c r="N51" s="53">
        <f t="shared" si="14"/>
        <v>0.10606870414459939</v>
      </c>
      <c r="O51" s="53">
        <f t="shared" si="14"/>
        <v>0.11047381546134663</v>
      </c>
    </row>
    <row r="52" spans="1:15" x14ac:dyDescent="0.25">
      <c r="A52" s="2" t="s">
        <v>172</v>
      </c>
      <c r="B52" s="53">
        <f>B48/B44</f>
        <v>8.6550741723155522E-2</v>
      </c>
      <c r="C52" s="53">
        <f>C48/C44</f>
        <v>9.3579483448526735E-2</v>
      </c>
      <c r="D52" s="53">
        <f t="shared" ref="D52:O52" si="15">D48/D44</f>
        <v>0.10361026533275337</v>
      </c>
      <c r="E52" s="53">
        <f t="shared" si="15"/>
        <v>0.11435793731041456</v>
      </c>
      <c r="F52" s="53">
        <f t="shared" si="15"/>
        <v>0.11550396506148719</v>
      </c>
      <c r="G52" s="53">
        <f t="shared" si="15"/>
        <v>0.14106798788879713</v>
      </c>
      <c r="H52" s="53">
        <f t="shared" si="15"/>
        <v>0.15949734171097149</v>
      </c>
      <c r="I52" s="53">
        <f t="shared" si="15"/>
        <v>0.14507606084867894</v>
      </c>
      <c r="J52" s="53">
        <f t="shared" si="15"/>
        <v>0.18434900695976913</v>
      </c>
      <c r="K52" s="53">
        <f>K48/K44</f>
        <v>0.19138943248532289</v>
      </c>
      <c r="L52" s="53">
        <f t="shared" si="15"/>
        <v>0.20044408558740412</v>
      </c>
      <c r="M52" s="53">
        <f t="shared" si="15"/>
        <v>0.1844851348690687</v>
      </c>
      <c r="N52" s="53">
        <f t="shared" si="15"/>
        <v>0.18231827111984283</v>
      </c>
      <c r="O52" s="53">
        <f t="shared" si="15"/>
        <v>0.20007673124880107</v>
      </c>
    </row>
    <row r="53" spans="1:15" x14ac:dyDescent="0.25">
      <c r="B53" s="43"/>
      <c r="C53" s="43"/>
      <c r="D53" s="15"/>
      <c r="E53" s="15"/>
      <c r="F53" s="15"/>
      <c r="G53" s="15"/>
      <c r="H53" s="15"/>
      <c r="I53" s="15"/>
      <c r="J53" s="15"/>
      <c r="K53" s="15"/>
      <c r="L53" s="15"/>
      <c r="N53" s="14"/>
    </row>
    <row r="54" spans="1:15" x14ac:dyDescent="0.25">
      <c r="B54" s="53"/>
      <c r="C54" s="53"/>
      <c r="D54" s="53"/>
      <c r="E54" s="53"/>
      <c r="F54" s="53"/>
      <c r="G54" s="53"/>
      <c r="H54" s="53"/>
      <c r="I54" s="53"/>
      <c r="J54" s="53"/>
      <c r="K54" s="53"/>
      <c r="L54" s="53"/>
      <c r="M54" s="53"/>
      <c r="N54" s="53"/>
    </row>
    <row r="55" spans="1:15" x14ac:dyDescent="0.25">
      <c r="B55" s="43"/>
      <c r="C55" s="43"/>
      <c r="D55" s="15"/>
      <c r="E55" s="15"/>
      <c r="F55" s="15"/>
      <c r="G55" s="15"/>
      <c r="H55" s="15"/>
      <c r="I55" s="15"/>
      <c r="J55" s="15"/>
      <c r="K55" s="15"/>
      <c r="L55" s="15"/>
      <c r="N55" s="14"/>
    </row>
    <row r="56" spans="1:15" x14ac:dyDescent="0.25">
      <c r="B56" s="43"/>
      <c r="C56" s="43"/>
      <c r="D56" s="15"/>
      <c r="E56" s="15"/>
      <c r="F56" s="15"/>
      <c r="G56" s="15"/>
      <c r="H56" s="15"/>
      <c r="I56" s="15"/>
      <c r="J56" s="15"/>
      <c r="K56" s="15"/>
      <c r="L56" s="15"/>
      <c r="N56" s="14"/>
    </row>
    <row r="57" spans="1:15" x14ac:dyDescent="0.25">
      <c r="B57" s="43"/>
      <c r="C57" s="43"/>
      <c r="D57" s="15"/>
      <c r="E57" s="15"/>
      <c r="F57" s="15"/>
      <c r="G57" s="15"/>
      <c r="H57" s="15"/>
      <c r="I57" s="15"/>
      <c r="J57" s="15"/>
      <c r="K57" s="15"/>
      <c r="L57" s="15"/>
      <c r="N57" s="14"/>
    </row>
    <row r="58" spans="1:15" x14ac:dyDescent="0.25">
      <c r="B58" s="43"/>
      <c r="C58" s="43"/>
      <c r="D58" s="15"/>
      <c r="E58" s="15"/>
      <c r="F58" s="15"/>
      <c r="G58" s="15"/>
      <c r="H58" s="15"/>
      <c r="I58" s="15"/>
      <c r="J58" s="15"/>
      <c r="K58" s="15"/>
      <c r="L58" s="15"/>
      <c r="N58" s="14"/>
    </row>
    <row r="59" spans="1:15" x14ac:dyDescent="0.25">
      <c r="B59" s="43"/>
      <c r="C59" s="43"/>
      <c r="D59" s="15"/>
      <c r="E59" s="15"/>
      <c r="F59" s="15"/>
      <c r="G59" s="15"/>
      <c r="H59" s="15"/>
      <c r="I59" s="15"/>
      <c r="J59" s="15"/>
      <c r="K59" s="15"/>
      <c r="L59" s="15"/>
      <c r="N59" s="14"/>
    </row>
    <row r="60" spans="1:15" x14ac:dyDescent="0.25">
      <c r="B60" s="15"/>
      <c r="C60" s="15"/>
      <c r="D60" s="15"/>
      <c r="E60" s="15"/>
      <c r="F60" s="15"/>
      <c r="G60" s="15"/>
      <c r="H60" s="15"/>
      <c r="I60" s="15"/>
      <c r="J60" s="15"/>
      <c r="K60" s="15"/>
      <c r="L60" s="15"/>
      <c r="N60" s="14"/>
    </row>
    <row r="61" spans="1:15" x14ac:dyDescent="0.25">
      <c r="B61" s="15"/>
      <c r="C61" s="15"/>
      <c r="D61" s="15"/>
      <c r="E61" s="15"/>
      <c r="F61" s="15"/>
      <c r="G61" s="15"/>
      <c r="H61" s="15"/>
      <c r="I61" s="15"/>
      <c r="J61" s="15"/>
      <c r="K61" s="15"/>
      <c r="L61" s="15"/>
      <c r="N61" s="14"/>
    </row>
    <row r="62" spans="1:15" x14ac:dyDescent="0.25">
      <c r="B62" s="15"/>
      <c r="C62" s="15"/>
      <c r="D62" s="15"/>
      <c r="E62" s="15"/>
      <c r="F62" s="15"/>
      <c r="G62" s="15"/>
      <c r="H62" s="15"/>
      <c r="I62" s="15"/>
      <c r="J62" s="15"/>
      <c r="K62" s="15"/>
      <c r="L62" s="15"/>
      <c r="N62" s="14"/>
    </row>
    <row r="63" spans="1:15" x14ac:dyDescent="0.25">
      <c r="B63" s="15"/>
      <c r="C63" s="15"/>
      <c r="D63" s="15"/>
      <c r="E63" s="15"/>
      <c r="F63" s="15"/>
      <c r="G63" s="15"/>
      <c r="H63" s="15"/>
      <c r="I63" s="15"/>
      <c r="J63" s="15"/>
      <c r="K63" s="15"/>
      <c r="L63" s="15"/>
      <c r="N63" s="14"/>
    </row>
    <row r="64" spans="1:15" x14ac:dyDescent="0.25">
      <c r="B64" s="15"/>
      <c r="C64" s="15"/>
      <c r="D64" s="15"/>
      <c r="E64" s="15"/>
      <c r="F64" s="15"/>
      <c r="G64" s="15"/>
      <c r="H64" s="15"/>
      <c r="I64" s="15"/>
      <c r="J64" s="15"/>
      <c r="K64" s="15"/>
      <c r="L64" s="15"/>
      <c r="N64" s="14"/>
    </row>
    <row r="65" spans="2:14" x14ac:dyDescent="0.25">
      <c r="B65" s="15"/>
      <c r="C65" s="15"/>
      <c r="D65" s="15"/>
      <c r="E65" s="15"/>
      <c r="F65" s="15"/>
      <c r="G65" s="15"/>
      <c r="H65" s="15"/>
      <c r="I65" s="15"/>
      <c r="J65" s="15"/>
      <c r="K65" s="15"/>
      <c r="L65" s="15"/>
      <c r="N65" s="14"/>
    </row>
    <row r="66" spans="2:14" x14ac:dyDescent="0.25">
      <c r="B66" s="15"/>
      <c r="C66" s="15"/>
      <c r="D66" s="15"/>
      <c r="E66" s="15"/>
      <c r="F66" s="15"/>
      <c r="G66" s="15"/>
      <c r="H66" s="15"/>
      <c r="I66" s="15"/>
      <c r="J66" s="15"/>
      <c r="K66" s="15"/>
      <c r="L66" s="15"/>
      <c r="N66" s="14"/>
    </row>
    <row r="67" spans="2:14" x14ac:dyDescent="0.25">
      <c r="B67" s="15"/>
      <c r="C67" s="15"/>
      <c r="D67" s="15"/>
      <c r="E67" s="15"/>
      <c r="F67" s="15"/>
      <c r="G67" s="15"/>
      <c r="H67" s="15"/>
      <c r="I67" s="15"/>
      <c r="J67" s="15"/>
      <c r="K67" s="15"/>
      <c r="L67" s="15"/>
      <c r="N67" s="14"/>
    </row>
    <row r="68" spans="2:14" x14ac:dyDescent="0.25">
      <c r="B68" s="15"/>
      <c r="C68" s="15"/>
      <c r="D68" s="15"/>
      <c r="E68" s="15"/>
      <c r="F68" s="15"/>
      <c r="G68" s="15"/>
      <c r="H68" s="15"/>
      <c r="I68" s="15"/>
      <c r="J68" s="15"/>
      <c r="K68" s="15"/>
      <c r="L68" s="15"/>
      <c r="N68" s="14"/>
    </row>
    <row r="69" spans="2:14" x14ac:dyDescent="0.25">
      <c r="B69" s="15"/>
      <c r="C69" s="15"/>
      <c r="D69" s="15"/>
      <c r="E69" s="15"/>
      <c r="F69" s="15"/>
      <c r="G69" s="15"/>
      <c r="H69" s="15"/>
      <c r="I69" s="15"/>
      <c r="J69" s="15"/>
      <c r="K69" s="15"/>
      <c r="L69" s="15"/>
      <c r="N69" s="14"/>
    </row>
    <row r="70" spans="2:14" x14ac:dyDescent="0.25">
      <c r="B70" s="15"/>
      <c r="C70" s="15"/>
      <c r="D70" s="15"/>
      <c r="E70" s="15"/>
      <c r="F70" s="15"/>
      <c r="G70" s="15"/>
      <c r="H70" s="15"/>
      <c r="I70" s="15"/>
      <c r="J70" s="15"/>
      <c r="K70" s="15"/>
      <c r="L70" s="15"/>
      <c r="N70" s="14"/>
    </row>
  </sheetData>
  <mergeCells count="8">
    <mergeCell ref="B3:C3"/>
    <mergeCell ref="L17:L18"/>
    <mergeCell ref="D3:G3"/>
    <mergeCell ref="H3:K3"/>
    <mergeCell ref="L3:O3"/>
    <mergeCell ref="O17:O18"/>
    <mergeCell ref="N17:N18"/>
    <mergeCell ref="M17:M18"/>
  </mergeCells>
  <pageMargins left="0.7" right="0.7" top="0.75" bottom="0.75" header="0.3" footer="0.3"/>
  <pageSetup scale="65"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4"/>
  <sheetViews>
    <sheetView workbookViewId="0">
      <pane ySplit="4" topLeftCell="A5" activePane="bottomLeft" state="frozen"/>
      <selection pane="bottomLeft"/>
    </sheetView>
  </sheetViews>
  <sheetFormatPr baseColWidth="10" defaultColWidth="9.1640625" defaultRowHeight="19" x14ac:dyDescent="0.25"/>
  <cols>
    <col min="1" max="1" width="77.83203125" style="2" bestFit="1" customWidth="1"/>
    <col min="2" max="13" width="13.1640625" style="2" customWidth="1"/>
    <col min="14" max="14" width="14" style="2" bestFit="1" customWidth="1"/>
    <col min="15" max="16384" width="9.1640625" style="2"/>
  </cols>
  <sheetData>
    <row r="1" spans="1:14" ht="21" x14ac:dyDescent="0.25">
      <c r="A1" s="86" t="s">
        <v>71</v>
      </c>
      <c r="B1" s="12"/>
      <c r="C1" s="12"/>
      <c r="D1" s="12"/>
      <c r="E1" s="12"/>
      <c r="F1" s="12"/>
      <c r="G1" s="12"/>
      <c r="H1" s="12"/>
      <c r="I1" s="12"/>
    </row>
    <row r="2" spans="1:14" x14ac:dyDescent="0.25">
      <c r="A2" s="58" t="s">
        <v>233</v>
      </c>
      <c r="B2" s="58"/>
      <c r="C2" s="58"/>
      <c r="D2" s="58"/>
      <c r="E2" s="58"/>
      <c r="F2" s="58"/>
      <c r="G2" s="58"/>
      <c r="H2" s="58"/>
      <c r="I2" s="58"/>
    </row>
    <row r="3" spans="1:14" x14ac:dyDescent="0.25">
      <c r="A3" s="24"/>
      <c r="B3" s="59" t="s">
        <v>235</v>
      </c>
      <c r="C3" s="107" t="s">
        <v>110</v>
      </c>
      <c r="D3" s="107"/>
      <c r="E3" s="107"/>
      <c r="F3" s="107"/>
      <c r="G3" s="107"/>
      <c r="H3" s="107"/>
      <c r="I3" s="107"/>
      <c r="J3" s="107"/>
      <c r="K3" s="107"/>
      <c r="L3" s="107"/>
      <c r="M3" s="107"/>
      <c r="N3" s="109" t="s">
        <v>183</v>
      </c>
    </row>
    <row r="4" spans="1:14" x14ac:dyDescent="0.25">
      <c r="A4" s="25" t="s">
        <v>13</v>
      </c>
      <c r="B4" s="8">
        <v>44804</v>
      </c>
      <c r="C4" s="6">
        <v>2022</v>
      </c>
      <c r="D4" s="6">
        <v>2021</v>
      </c>
      <c r="E4" s="6">
        <v>2020</v>
      </c>
      <c r="F4" s="6">
        <v>2019</v>
      </c>
      <c r="G4" s="6">
        <v>2018</v>
      </c>
      <c r="H4" s="6">
        <v>2017</v>
      </c>
      <c r="I4" s="6">
        <v>2016</v>
      </c>
      <c r="J4" s="6">
        <v>2015</v>
      </c>
      <c r="K4" s="6">
        <v>2014</v>
      </c>
      <c r="L4" s="6">
        <v>2013</v>
      </c>
      <c r="M4" s="6">
        <v>2012</v>
      </c>
      <c r="N4" s="110"/>
    </row>
    <row r="5" spans="1:14" x14ac:dyDescent="0.25">
      <c r="A5" s="12" t="s">
        <v>125</v>
      </c>
      <c r="B5" s="43"/>
      <c r="C5" s="43"/>
      <c r="D5" s="43"/>
      <c r="E5" s="43"/>
      <c r="F5" s="43"/>
      <c r="G5" s="43"/>
      <c r="H5" s="43"/>
      <c r="I5" s="43"/>
      <c r="J5" s="43"/>
      <c r="K5" s="43"/>
      <c r="L5" s="43"/>
      <c r="M5" s="43"/>
    </row>
    <row r="6" spans="1:14" x14ac:dyDescent="0.25">
      <c r="A6" s="12" t="s">
        <v>62</v>
      </c>
      <c r="B6" s="13">
        <v>378170</v>
      </c>
      <c r="C6" s="13">
        <v>1151297</v>
      </c>
      <c r="D6" s="13">
        <v>746919</v>
      </c>
      <c r="E6" s="13">
        <v>888433</v>
      </c>
      <c r="F6" s="13">
        <v>842413</v>
      </c>
      <c r="G6" s="13">
        <v>664112</v>
      </c>
      <c r="H6" s="13">
        <v>626970</v>
      </c>
      <c r="I6" s="13">
        <v>623428</v>
      </c>
      <c r="J6" s="13">
        <v>597358</v>
      </c>
      <c r="K6" s="13">
        <v>492586</v>
      </c>
      <c r="L6" s="13">
        <v>434284</v>
      </c>
      <c r="M6" s="13">
        <v>413795</v>
      </c>
      <c r="N6" s="60">
        <f>SUM(B6:M6)</f>
        <v>7859765</v>
      </c>
    </row>
    <row r="7" spans="1:14" x14ac:dyDescent="0.25">
      <c r="A7" s="2" t="s">
        <v>109</v>
      </c>
      <c r="B7" s="15"/>
      <c r="C7" s="15"/>
      <c r="D7" s="15"/>
      <c r="E7" s="15"/>
      <c r="F7" s="15"/>
      <c r="G7" s="15"/>
      <c r="H7" s="15"/>
      <c r="I7" s="15"/>
      <c r="J7" s="15"/>
      <c r="K7" s="15"/>
      <c r="L7" s="15"/>
      <c r="M7" s="15"/>
    </row>
    <row r="8" spans="1:14" x14ac:dyDescent="0.25">
      <c r="A8" s="2" t="s">
        <v>111</v>
      </c>
      <c r="B8" s="15">
        <v>137903</v>
      </c>
      <c r="C8" s="15">
        <v>273188</v>
      </c>
      <c r="D8" s="15">
        <v>242156</v>
      </c>
      <c r="E8" s="15">
        <v>215811</v>
      </c>
      <c r="F8" s="15">
        <v>182247</v>
      </c>
      <c r="G8" s="15">
        <v>179942</v>
      </c>
      <c r="H8" s="15">
        <v>168875</v>
      </c>
      <c r="I8" s="15">
        <v>137360</v>
      </c>
      <c r="J8" s="15">
        <v>115173</v>
      </c>
      <c r="K8" s="15">
        <v>101911</v>
      </c>
      <c r="L8" s="15">
        <v>95283</v>
      </c>
      <c r="M8" s="15">
        <v>82812</v>
      </c>
      <c r="N8" s="61">
        <f>SUM(B8:M8)</f>
        <v>1932661</v>
      </c>
    </row>
    <row r="9" spans="1:14" x14ac:dyDescent="0.25">
      <c r="A9" s="2" t="s">
        <v>112</v>
      </c>
      <c r="B9" s="15">
        <v>47010</v>
      </c>
      <c r="C9" s="15">
        <v>109197</v>
      </c>
      <c r="D9" s="15">
        <v>121899</v>
      </c>
      <c r="E9" s="15">
        <v>108861</v>
      </c>
      <c r="F9" s="15">
        <v>75011</v>
      </c>
      <c r="G9" s="15">
        <v>61879</v>
      </c>
      <c r="H9" s="15">
        <v>91595</v>
      </c>
      <c r="I9" s="15">
        <v>51077</v>
      </c>
      <c r="J9" s="15">
        <v>81880</v>
      </c>
      <c r="K9" s="15">
        <v>66480</v>
      </c>
      <c r="L9" s="15">
        <v>62112</v>
      </c>
      <c r="M9" s="15">
        <v>48089</v>
      </c>
      <c r="N9" s="61">
        <f t="shared" ref="N9:N22" si="0">SUM(B9:M9)</f>
        <v>925090</v>
      </c>
    </row>
    <row r="10" spans="1:14" x14ac:dyDescent="0.25">
      <c r="A10" s="2" t="s">
        <v>113</v>
      </c>
      <c r="B10" s="15">
        <v>133343</v>
      </c>
      <c r="C10" s="15">
        <v>141692</v>
      </c>
      <c r="D10" s="15">
        <v>160703</v>
      </c>
      <c r="E10" s="15">
        <v>185695</v>
      </c>
      <c r="F10" s="15">
        <v>153848</v>
      </c>
      <c r="G10" s="15">
        <v>137591</v>
      </c>
      <c r="H10" s="15">
        <v>150598</v>
      </c>
      <c r="I10" s="15">
        <v>101199</v>
      </c>
      <c r="J10" s="15">
        <v>82343</v>
      </c>
      <c r="K10" s="15">
        <v>72212</v>
      </c>
      <c r="L10" s="15">
        <v>56168</v>
      </c>
      <c r="M10" s="15">
        <v>36439</v>
      </c>
      <c r="N10" s="61">
        <f t="shared" si="0"/>
        <v>1411831</v>
      </c>
    </row>
    <row r="11" spans="1:14" x14ac:dyDescent="0.25">
      <c r="A11" s="2" t="s">
        <v>114</v>
      </c>
      <c r="B11" s="15">
        <v>59208</v>
      </c>
      <c r="C11" s="15">
        <v>114928</v>
      </c>
      <c r="D11" s="15">
        <v>72235</v>
      </c>
      <c r="E11" s="15">
        <v>89272</v>
      </c>
      <c r="F11" s="15">
        <v>63937</v>
      </c>
      <c r="G11" s="15">
        <v>62749</v>
      </c>
      <c r="H11" s="15">
        <v>64120</v>
      </c>
      <c r="I11" s="15">
        <v>77118</v>
      </c>
      <c r="J11" s="15">
        <v>70987</v>
      </c>
      <c r="K11" s="15">
        <v>76746</v>
      </c>
      <c r="L11" s="15">
        <v>31667</v>
      </c>
      <c r="M11" s="15">
        <v>22840</v>
      </c>
      <c r="N11" s="61">
        <f t="shared" si="0"/>
        <v>805807</v>
      </c>
    </row>
    <row r="12" spans="1:14" x14ac:dyDescent="0.25">
      <c r="A12" s="2" t="s">
        <v>115</v>
      </c>
      <c r="B12" s="15">
        <v>800</v>
      </c>
      <c r="C12" s="15">
        <v>15000</v>
      </c>
      <c r="D12" s="15">
        <v>-35787</v>
      </c>
      <c r="E12" s="15">
        <v>-1102</v>
      </c>
      <c r="F12" s="15">
        <v>2300</v>
      </c>
      <c r="G12" s="15">
        <v>81007</v>
      </c>
      <c r="H12" s="15">
        <v>2324</v>
      </c>
      <c r="I12" s="15">
        <v>17237</v>
      </c>
      <c r="J12" s="15">
        <v>-4299</v>
      </c>
      <c r="K12" s="15">
        <v>-17185</v>
      </c>
      <c r="L12" s="15">
        <v>3858</v>
      </c>
      <c r="M12" s="15">
        <v>-872</v>
      </c>
      <c r="N12" s="61">
        <f t="shared" si="0"/>
        <v>63281</v>
      </c>
    </row>
    <row r="13" spans="1:14" x14ac:dyDescent="0.25">
      <c r="A13" s="2" t="s">
        <v>116</v>
      </c>
      <c r="B13" s="15">
        <v>9713</v>
      </c>
      <c r="C13" s="15">
        <v>-19139</v>
      </c>
      <c r="D13" s="15">
        <v>-1409</v>
      </c>
      <c r="E13" s="15">
        <v>3507</v>
      </c>
      <c r="F13" s="15">
        <v>2825</v>
      </c>
      <c r="G13" s="15">
        <v>1298</v>
      </c>
      <c r="H13" s="15">
        <v>4169</v>
      </c>
      <c r="I13" s="15">
        <v>13136</v>
      </c>
      <c r="J13" s="15">
        <v>3852</v>
      </c>
      <c r="K13" s="15">
        <v>2707</v>
      </c>
      <c r="L13" s="15">
        <f>1995-50</f>
        <v>1945</v>
      </c>
      <c r="M13" s="15">
        <f>2569+248</f>
        <v>2817</v>
      </c>
      <c r="N13" s="61">
        <f t="shared" si="0"/>
        <v>25421</v>
      </c>
    </row>
    <row r="14" spans="1:14" x14ac:dyDescent="0.25">
      <c r="A14" s="2" t="s">
        <v>117</v>
      </c>
      <c r="B14" s="15"/>
      <c r="C14" s="15"/>
      <c r="D14" s="15"/>
      <c r="E14" s="15"/>
      <c r="F14" s="15"/>
      <c r="G14" s="15"/>
      <c r="H14" s="15"/>
      <c r="I14" s="15"/>
      <c r="J14" s="15"/>
      <c r="K14" s="15"/>
      <c r="L14" s="15"/>
      <c r="M14" s="15"/>
      <c r="N14" s="61">
        <f t="shared" si="0"/>
        <v>0</v>
      </c>
    </row>
    <row r="15" spans="1:14" x14ac:dyDescent="0.25">
      <c r="A15" s="2" t="s">
        <v>118</v>
      </c>
      <c r="B15" s="15">
        <v>158532</v>
      </c>
      <c r="C15" s="15">
        <v>-288195</v>
      </c>
      <c r="D15" s="15">
        <v>-43507</v>
      </c>
      <c r="E15" s="15">
        <v>-51240</v>
      </c>
      <c r="F15" s="15">
        <v>-6529</v>
      </c>
      <c r="G15" s="15">
        <v>19067</v>
      </c>
      <c r="H15" s="15">
        <v>-20217</v>
      </c>
      <c r="I15" s="15">
        <v>5519</v>
      </c>
      <c r="J15" s="15">
        <v>-57767</v>
      </c>
      <c r="K15" s="15">
        <v>12038</v>
      </c>
      <c r="L15" s="15">
        <v>-5527</v>
      </c>
      <c r="M15" s="15">
        <v>33163</v>
      </c>
      <c r="N15" s="61">
        <f t="shared" si="0"/>
        <v>-244663</v>
      </c>
    </row>
    <row r="16" spans="1:14" x14ac:dyDescent="0.25">
      <c r="A16" s="2" t="s">
        <v>119</v>
      </c>
      <c r="B16" s="15">
        <v>452884</v>
      </c>
      <c r="C16" s="15">
        <v>-1967432</v>
      </c>
      <c r="D16" s="15">
        <v>-323318</v>
      </c>
      <c r="E16" s="15">
        <v>-326961</v>
      </c>
      <c r="F16" s="15">
        <v>-128761</v>
      </c>
      <c r="G16" s="15">
        <v>-130131</v>
      </c>
      <c r="H16" s="15">
        <v>-328534</v>
      </c>
      <c r="I16" s="15">
        <v>154845</v>
      </c>
      <c r="J16" s="15">
        <v>-445450</v>
      </c>
      <c r="K16" s="15">
        <v>-123611</v>
      </c>
      <c r="L16" s="15">
        <v>-425221</v>
      </c>
      <c r="M16" s="15">
        <v>-43115</v>
      </c>
      <c r="N16" s="61">
        <f t="shared" si="0"/>
        <v>-3634805</v>
      </c>
    </row>
    <row r="17" spans="1:14" x14ac:dyDescent="0.25">
      <c r="A17" s="2" t="s">
        <v>120</v>
      </c>
      <c r="B17" s="15">
        <v>79188</v>
      </c>
      <c r="C17" s="15">
        <v>-80790</v>
      </c>
      <c r="D17" s="15">
        <v>-50</v>
      </c>
      <c r="E17" s="15">
        <v>-19843</v>
      </c>
      <c r="F17" s="15">
        <v>32890</v>
      </c>
      <c r="G17" s="15">
        <v>-34620</v>
      </c>
      <c r="H17" s="15">
        <v>-2781</v>
      </c>
      <c r="I17" s="15">
        <v>15229</v>
      </c>
      <c r="J17" s="15">
        <v>-16947</v>
      </c>
      <c r="K17" s="15">
        <v>-3019</v>
      </c>
      <c r="L17" s="15">
        <v>-3252</v>
      </c>
      <c r="M17" s="15">
        <v>15919</v>
      </c>
      <c r="N17" s="61">
        <f t="shared" si="0"/>
        <v>-18076</v>
      </c>
    </row>
    <row r="18" spans="1:14" x14ac:dyDescent="0.25">
      <c r="A18" s="2" t="s">
        <v>121</v>
      </c>
      <c r="B18" s="15">
        <v>-804855</v>
      </c>
      <c r="C18" s="15">
        <v>-1941574</v>
      </c>
      <c r="D18" s="15">
        <v>-300838</v>
      </c>
      <c r="E18" s="15">
        <v>-1308919</v>
      </c>
      <c r="F18" s="15">
        <v>-1046631</v>
      </c>
      <c r="G18" s="15">
        <v>-1077219</v>
      </c>
      <c r="H18" s="15">
        <v>-1209782</v>
      </c>
      <c r="I18" s="15">
        <v>-1202587</v>
      </c>
      <c r="J18" s="15">
        <v>-1369999</v>
      </c>
      <c r="K18" s="15">
        <v>-1324142</v>
      </c>
      <c r="L18" s="15">
        <v>-992239</v>
      </c>
      <c r="M18" s="15">
        <v>-675711</v>
      </c>
      <c r="N18" s="61">
        <f t="shared" si="0"/>
        <v>-13254496</v>
      </c>
    </row>
    <row r="19" spans="1:14" x14ac:dyDescent="0.25">
      <c r="A19" s="2" t="s">
        <v>122</v>
      </c>
      <c r="B19" s="15">
        <v>-31703</v>
      </c>
      <c r="C19" s="15">
        <v>-32272</v>
      </c>
      <c r="D19" s="15">
        <v>-12862</v>
      </c>
      <c r="E19" s="15">
        <v>4265</v>
      </c>
      <c r="F19" s="15">
        <v>-7230</v>
      </c>
      <c r="G19" s="15">
        <v>-2361</v>
      </c>
      <c r="H19" s="15">
        <v>143</v>
      </c>
      <c r="I19" s="15">
        <v>-160</v>
      </c>
      <c r="J19" s="15">
        <v>825</v>
      </c>
      <c r="K19" s="15">
        <v>-6754</v>
      </c>
      <c r="L19" s="15">
        <v>-1722</v>
      </c>
      <c r="M19" s="15">
        <v>-6986</v>
      </c>
      <c r="N19" s="61">
        <f t="shared" si="0"/>
        <v>-96817</v>
      </c>
    </row>
    <row r="20" spans="1:14" x14ac:dyDescent="0.25">
      <c r="A20" s="2" t="s">
        <v>123</v>
      </c>
      <c r="B20" s="15"/>
      <c r="C20" s="15"/>
      <c r="D20" s="15"/>
      <c r="E20" s="15"/>
      <c r="F20" s="15"/>
      <c r="G20" s="15"/>
      <c r="H20" s="15"/>
      <c r="I20" s="15"/>
      <c r="J20" s="15"/>
      <c r="K20" s="15"/>
      <c r="L20" s="15"/>
      <c r="M20" s="15"/>
      <c r="N20" s="61">
        <f t="shared" si="0"/>
        <v>0</v>
      </c>
    </row>
    <row r="21" spans="1:14" x14ac:dyDescent="0.25">
      <c r="A21" s="2" t="s">
        <v>155</v>
      </c>
      <c r="B21" s="15">
        <v>-74986</v>
      </c>
      <c r="C21" s="15">
        <v>175106</v>
      </c>
      <c r="D21" s="15">
        <v>106788</v>
      </c>
      <c r="E21" s="15">
        <v>85442</v>
      </c>
      <c r="F21" s="15">
        <v>86360</v>
      </c>
      <c r="G21" s="15">
        <v>38286</v>
      </c>
      <c r="H21" s="15">
        <v>74579</v>
      </c>
      <c r="I21" s="15">
        <v>-55187</v>
      </c>
      <c r="J21" s="15">
        <v>51960</v>
      </c>
      <c r="K21" s="15">
        <v>117405</v>
      </c>
      <c r="L21" s="15">
        <v>-575</v>
      </c>
      <c r="M21" s="15">
        <v>43138</v>
      </c>
      <c r="N21" s="61">
        <f t="shared" si="0"/>
        <v>648316</v>
      </c>
    </row>
    <row r="22" spans="1:14" x14ac:dyDescent="0.25">
      <c r="A22" s="2" t="s">
        <v>149</v>
      </c>
      <c r="B22" s="15">
        <v>-65618</v>
      </c>
      <c r="C22" s="15">
        <v>-200456</v>
      </c>
      <c r="D22" s="15">
        <v>-65169</v>
      </c>
      <c r="E22" s="15">
        <v>-109827</v>
      </c>
      <c r="F22" s="15">
        <v>-89709</v>
      </c>
      <c r="G22" s="15">
        <v>-82150</v>
      </c>
      <c r="H22" s="15">
        <v>-77370</v>
      </c>
      <c r="I22" s="15">
        <v>-87107</v>
      </c>
      <c r="J22" s="15">
        <v>-78046</v>
      </c>
      <c r="K22" s="15">
        <v>-80537</v>
      </c>
      <c r="L22" s="15">
        <v>-35222</v>
      </c>
      <c r="M22" s="15">
        <v>-34492</v>
      </c>
      <c r="N22" s="61">
        <f t="shared" si="0"/>
        <v>-1005703</v>
      </c>
    </row>
    <row r="23" spans="1:14" x14ac:dyDescent="0.25">
      <c r="A23" s="12" t="s">
        <v>124</v>
      </c>
      <c r="B23" s="19">
        <f>SUM(B6:B22)</f>
        <v>479589</v>
      </c>
      <c r="C23" s="19">
        <f t="shared" ref="C23:H23" si="1">SUM(C6:C22)</f>
        <v>-2549450</v>
      </c>
      <c r="D23" s="19">
        <f t="shared" si="1"/>
        <v>667760</v>
      </c>
      <c r="E23" s="19">
        <f t="shared" si="1"/>
        <v>-236606</v>
      </c>
      <c r="F23" s="19">
        <f t="shared" si="1"/>
        <v>162971</v>
      </c>
      <c r="G23" s="19">
        <f t="shared" si="1"/>
        <v>-80550</v>
      </c>
      <c r="H23" s="19">
        <f t="shared" si="1"/>
        <v>-455311</v>
      </c>
      <c r="I23" s="19">
        <f t="shared" ref="I23:N23" si="2">SUM(I6:I22)</f>
        <v>-148893</v>
      </c>
      <c r="J23" s="19">
        <f t="shared" si="2"/>
        <v>-968130</v>
      </c>
      <c r="K23" s="19">
        <f t="shared" si="2"/>
        <v>-613163</v>
      </c>
      <c r="L23" s="19">
        <f t="shared" si="2"/>
        <v>-778441</v>
      </c>
      <c r="M23" s="19">
        <f t="shared" si="2"/>
        <v>-62164</v>
      </c>
      <c r="N23" s="19">
        <f t="shared" si="2"/>
        <v>-4582388</v>
      </c>
    </row>
    <row r="24" spans="1:14" x14ac:dyDescent="0.25">
      <c r="A24" s="12" t="s">
        <v>18</v>
      </c>
      <c r="B24" s="15"/>
      <c r="C24" s="15"/>
      <c r="D24" s="15"/>
      <c r="E24" s="15"/>
      <c r="F24" s="15"/>
      <c r="G24" s="15"/>
      <c r="H24" s="15"/>
      <c r="I24" s="15"/>
      <c r="J24" s="15"/>
      <c r="K24" s="15"/>
      <c r="L24" s="15"/>
      <c r="M24" s="15"/>
    </row>
    <row r="25" spans="1:14" x14ac:dyDescent="0.25">
      <c r="A25" s="2" t="s">
        <v>126</v>
      </c>
      <c r="B25" s="15">
        <v>-204463</v>
      </c>
      <c r="C25" s="15">
        <v>-308534</v>
      </c>
      <c r="D25" s="15">
        <v>-164536</v>
      </c>
      <c r="E25" s="15">
        <v>-331896</v>
      </c>
      <c r="F25" s="15">
        <v>-304636</v>
      </c>
      <c r="G25" s="15">
        <v>-296816</v>
      </c>
      <c r="H25" s="15">
        <v>-418144</v>
      </c>
      <c r="I25" s="15">
        <v>-315584</v>
      </c>
      <c r="J25" s="15">
        <v>-309817</v>
      </c>
      <c r="K25" s="15">
        <v>-310317</v>
      </c>
      <c r="L25" s="15">
        <v>-235707</v>
      </c>
      <c r="M25" s="15">
        <v>-172608</v>
      </c>
      <c r="N25" s="61">
        <f>SUM(B25:M25)</f>
        <v>-3373058</v>
      </c>
    </row>
    <row r="26" spans="1:14" x14ac:dyDescent="0.25">
      <c r="A26" s="2" t="s">
        <v>127</v>
      </c>
      <c r="B26" s="15">
        <v>84</v>
      </c>
      <c r="C26" s="15">
        <v>260</v>
      </c>
      <c r="D26" s="15">
        <v>1846</v>
      </c>
      <c r="E26" s="15">
        <v>3</v>
      </c>
      <c r="F26" s="15">
        <v>692</v>
      </c>
      <c r="G26" s="15">
        <v>97</v>
      </c>
      <c r="H26" s="15">
        <v>1229</v>
      </c>
      <c r="I26" s="15">
        <v>1542</v>
      </c>
      <c r="J26" s="15">
        <v>5869</v>
      </c>
      <c r="K26" s="15">
        <v>5095</v>
      </c>
      <c r="L26" s="15">
        <v>0</v>
      </c>
      <c r="M26" s="15">
        <v>0</v>
      </c>
      <c r="N26" s="61">
        <f t="shared" ref="N26:N36" si="3">SUM(B26:M26)</f>
        <v>16717</v>
      </c>
    </row>
    <row r="27" spans="1:14" x14ac:dyDescent="0.25">
      <c r="A27" s="2" t="s">
        <v>128</v>
      </c>
      <c r="B27" s="15">
        <v>0</v>
      </c>
      <c r="C27" s="15">
        <v>0</v>
      </c>
      <c r="D27" s="15">
        <v>0</v>
      </c>
      <c r="E27" s="15">
        <v>0</v>
      </c>
      <c r="F27" s="15">
        <v>0</v>
      </c>
      <c r="G27" s="15">
        <v>0</v>
      </c>
      <c r="H27" s="15">
        <v>0</v>
      </c>
      <c r="I27" s="15">
        <v>-49707</v>
      </c>
      <c r="J27" s="15">
        <v>-34823</v>
      </c>
      <c r="K27" s="15">
        <v>-35012</v>
      </c>
      <c r="L27" s="15">
        <v>-19973</v>
      </c>
      <c r="M27" s="15">
        <v>-43262</v>
      </c>
      <c r="N27" s="61">
        <f t="shared" si="3"/>
        <v>-182777</v>
      </c>
    </row>
    <row r="28" spans="1:14" x14ac:dyDescent="0.25">
      <c r="A28" s="2" t="s">
        <v>129</v>
      </c>
      <c r="B28" s="15">
        <v>0</v>
      </c>
      <c r="C28" s="15">
        <v>0</v>
      </c>
      <c r="D28" s="15">
        <v>0</v>
      </c>
      <c r="E28" s="15">
        <v>0</v>
      </c>
      <c r="F28" s="15">
        <v>0</v>
      </c>
      <c r="G28" s="15">
        <v>0</v>
      </c>
      <c r="H28" s="15">
        <v>0</v>
      </c>
      <c r="I28" s="15">
        <v>-12264</v>
      </c>
      <c r="J28" s="15">
        <v>-16556</v>
      </c>
      <c r="K28" s="15">
        <v>-10403</v>
      </c>
      <c r="L28" s="15">
        <v>-13385</v>
      </c>
      <c r="M28" s="15">
        <v>-12364</v>
      </c>
      <c r="N28" s="61">
        <f t="shared" si="3"/>
        <v>-64972</v>
      </c>
    </row>
    <row r="29" spans="1:14" x14ac:dyDescent="0.25">
      <c r="A29" s="2" t="s">
        <v>130</v>
      </c>
      <c r="B29" s="15">
        <v>0</v>
      </c>
      <c r="C29" s="15">
        <v>0</v>
      </c>
      <c r="D29" s="15">
        <v>0</v>
      </c>
      <c r="E29" s="15">
        <v>0</v>
      </c>
      <c r="F29" s="15">
        <v>0</v>
      </c>
      <c r="G29" s="15">
        <v>0</v>
      </c>
      <c r="H29" s="15">
        <v>0</v>
      </c>
      <c r="I29" s="15">
        <v>8357</v>
      </c>
      <c r="J29" s="15">
        <v>6346</v>
      </c>
      <c r="K29" s="15">
        <v>19202</v>
      </c>
      <c r="L29" s="15">
        <v>17368</v>
      </c>
      <c r="M29" s="15">
        <v>12096</v>
      </c>
      <c r="N29" s="61">
        <f t="shared" si="3"/>
        <v>63369</v>
      </c>
    </row>
    <row r="30" spans="1:14" x14ac:dyDescent="0.25">
      <c r="A30" s="2" t="s">
        <v>179</v>
      </c>
      <c r="B30" s="15">
        <v>0</v>
      </c>
      <c r="C30" s="15">
        <v>12298</v>
      </c>
      <c r="D30" s="15">
        <v>29911</v>
      </c>
      <c r="E30" s="15">
        <v>0</v>
      </c>
      <c r="F30" s="15">
        <v>0</v>
      </c>
      <c r="G30" s="15">
        <v>0</v>
      </c>
      <c r="H30" s="15">
        <v>0</v>
      </c>
      <c r="I30" s="15">
        <v>0</v>
      </c>
      <c r="J30" s="15">
        <v>0</v>
      </c>
      <c r="K30" s="15">
        <v>0</v>
      </c>
      <c r="L30" s="15">
        <v>0</v>
      </c>
      <c r="M30" s="15">
        <v>0</v>
      </c>
      <c r="N30" s="61">
        <f t="shared" si="3"/>
        <v>42209</v>
      </c>
    </row>
    <row r="31" spans="1:14" x14ac:dyDescent="0.25">
      <c r="A31" s="2" t="s">
        <v>175</v>
      </c>
      <c r="B31" s="15">
        <v>-5428</v>
      </c>
      <c r="C31" s="15">
        <v>-24614</v>
      </c>
      <c r="D31" s="15">
        <v>-3729</v>
      </c>
      <c r="E31" s="15">
        <v>-59050</v>
      </c>
      <c r="F31" s="15">
        <v>-6147</v>
      </c>
      <c r="G31" s="15">
        <v>-6836</v>
      </c>
      <c r="H31" s="15">
        <v>-3774</v>
      </c>
      <c r="I31" s="15">
        <v>0</v>
      </c>
      <c r="J31" s="15">
        <v>0</v>
      </c>
      <c r="K31" s="15">
        <v>0</v>
      </c>
      <c r="L31" s="15">
        <v>0</v>
      </c>
      <c r="M31" s="15">
        <v>0</v>
      </c>
      <c r="N31" s="61">
        <f t="shared" si="3"/>
        <v>-109578</v>
      </c>
    </row>
    <row r="32" spans="1:14" x14ac:dyDescent="0.25">
      <c r="A32" s="2" t="s">
        <v>176</v>
      </c>
      <c r="B32" s="15">
        <v>2492</v>
      </c>
      <c r="C32" s="15">
        <v>38408</v>
      </c>
      <c r="D32" s="15">
        <v>8325</v>
      </c>
      <c r="E32" s="15">
        <v>1579</v>
      </c>
      <c r="F32" s="15">
        <v>1578</v>
      </c>
      <c r="G32" s="15">
        <v>1692</v>
      </c>
      <c r="H32" s="15">
        <v>730</v>
      </c>
      <c r="I32" s="15">
        <v>0</v>
      </c>
      <c r="J32" s="15">
        <v>0</v>
      </c>
      <c r="K32" s="15">
        <v>0</v>
      </c>
      <c r="L32" s="15">
        <v>0</v>
      </c>
      <c r="M32" s="15">
        <v>0</v>
      </c>
      <c r="N32" s="61">
        <f t="shared" si="3"/>
        <v>54804</v>
      </c>
    </row>
    <row r="33" spans="1:14" x14ac:dyDescent="0.25">
      <c r="A33" s="2" t="s">
        <v>178</v>
      </c>
      <c r="B33" s="15">
        <v>0</v>
      </c>
      <c r="C33" s="15">
        <v>-241563</v>
      </c>
      <c r="D33" s="15">
        <v>0</v>
      </c>
      <c r="E33" s="15">
        <v>0</v>
      </c>
      <c r="F33" s="15">
        <v>0</v>
      </c>
      <c r="G33" s="15">
        <v>0</v>
      </c>
      <c r="H33" s="15">
        <v>0</v>
      </c>
      <c r="I33" s="15">
        <v>0</v>
      </c>
      <c r="J33" s="15">
        <v>0</v>
      </c>
      <c r="K33" s="15">
        <v>0</v>
      </c>
      <c r="L33" s="15">
        <v>0</v>
      </c>
      <c r="M33" s="15">
        <v>0</v>
      </c>
      <c r="N33" s="61"/>
    </row>
    <row r="34" spans="1:14" x14ac:dyDescent="0.25">
      <c r="A34" s="2" t="s">
        <v>131</v>
      </c>
      <c r="B34" s="15">
        <v>0</v>
      </c>
      <c r="C34" s="15">
        <v>0</v>
      </c>
      <c r="D34" s="15">
        <v>0</v>
      </c>
      <c r="E34" s="15">
        <v>0</v>
      </c>
      <c r="F34" s="15">
        <v>0</v>
      </c>
      <c r="G34" s="15">
        <v>0</v>
      </c>
      <c r="H34" s="15">
        <v>0</v>
      </c>
      <c r="I34" s="15">
        <v>-6168</v>
      </c>
      <c r="J34" s="15">
        <v>-8604</v>
      </c>
      <c r="K34" s="15">
        <v>-3661</v>
      </c>
      <c r="L34" s="15">
        <v>-2139</v>
      </c>
      <c r="M34" s="15">
        <v>-678</v>
      </c>
      <c r="N34" s="61">
        <f t="shared" si="3"/>
        <v>-21250</v>
      </c>
    </row>
    <row r="35" spans="1:14" x14ac:dyDescent="0.25">
      <c r="A35" s="2" t="s">
        <v>132</v>
      </c>
      <c r="B35" s="15">
        <v>0</v>
      </c>
      <c r="C35" s="15">
        <v>0</v>
      </c>
      <c r="D35" s="15">
        <v>0</v>
      </c>
      <c r="E35" s="15">
        <v>0</v>
      </c>
      <c r="F35" s="15">
        <v>0</v>
      </c>
      <c r="G35" s="15">
        <v>0</v>
      </c>
      <c r="H35" s="15">
        <v>0</v>
      </c>
      <c r="I35" s="15">
        <v>-5295</v>
      </c>
      <c r="J35" s="15">
        <v>-3814</v>
      </c>
      <c r="K35" s="15">
        <v>-2051</v>
      </c>
      <c r="L35" s="15">
        <v>-31756</v>
      </c>
      <c r="M35" s="15">
        <v>-2638</v>
      </c>
      <c r="N35" s="61">
        <f t="shared" si="3"/>
        <v>-45554</v>
      </c>
    </row>
    <row r="36" spans="1:14" x14ac:dyDescent="0.25">
      <c r="A36" s="2" t="s">
        <v>133</v>
      </c>
      <c r="B36" s="15">
        <v>0</v>
      </c>
      <c r="C36" s="15">
        <v>0</v>
      </c>
      <c r="D36" s="15">
        <v>0</v>
      </c>
      <c r="E36" s="15">
        <v>0</v>
      </c>
      <c r="F36" s="15">
        <v>0</v>
      </c>
      <c r="G36" s="15">
        <v>0</v>
      </c>
      <c r="H36" s="15">
        <v>0</v>
      </c>
      <c r="I36" s="15">
        <v>324</v>
      </c>
      <c r="J36" s="15">
        <v>655</v>
      </c>
      <c r="K36" s="15">
        <v>466</v>
      </c>
      <c r="L36" s="15">
        <v>30318</v>
      </c>
      <c r="M36" s="15">
        <v>52</v>
      </c>
      <c r="N36" s="61">
        <f t="shared" si="3"/>
        <v>31815</v>
      </c>
    </row>
    <row r="37" spans="1:14" x14ac:dyDescent="0.25">
      <c r="A37" s="12" t="s">
        <v>134</v>
      </c>
      <c r="B37" s="19">
        <f>SUM(B25:B36)</f>
        <v>-207315</v>
      </c>
      <c r="C37" s="19">
        <f t="shared" ref="C37:H37" si="4">SUM(C25:C36)</f>
        <v>-523745</v>
      </c>
      <c r="D37" s="19">
        <f t="shared" si="4"/>
        <v>-128183</v>
      </c>
      <c r="E37" s="19">
        <f t="shared" si="4"/>
        <v>-389364</v>
      </c>
      <c r="F37" s="19">
        <f t="shared" si="4"/>
        <v>-308513</v>
      </c>
      <c r="G37" s="19">
        <f t="shared" si="4"/>
        <v>-301863</v>
      </c>
      <c r="H37" s="19">
        <f t="shared" si="4"/>
        <v>-419959</v>
      </c>
      <c r="I37" s="19">
        <f t="shared" ref="I37:N37" si="5">SUM(I25:I36)</f>
        <v>-378795</v>
      </c>
      <c r="J37" s="19">
        <f t="shared" si="5"/>
        <v>-360744</v>
      </c>
      <c r="K37" s="19">
        <f t="shared" si="5"/>
        <v>-336681</v>
      </c>
      <c r="L37" s="19">
        <f t="shared" si="5"/>
        <v>-255274</v>
      </c>
      <c r="M37" s="19">
        <f t="shared" si="5"/>
        <v>-219402</v>
      </c>
      <c r="N37" s="19">
        <f t="shared" si="5"/>
        <v>-3588275</v>
      </c>
    </row>
    <row r="38" spans="1:14" x14ac:dyDescent="0.25">
      <c r="A38" s="12" t="s">
        <v>19</v>
      </c>
      <c r="B38" s="15"/>
      <c r="C38" s="15"/>
      <c r="D38" s="15"/>
      <c r="E38" s="15"/>
      <c r="F38" s="15"/>
      <c r="G38" s="15"/>
      <c r="H38" s="15"/>
      <c r="I38" s="15"/>
      <c r="J38" s="15"/>
      <c r="K38" s="15"/>
      <c r="L38" s="15"/>
      <c r="M38" s="15"/>
    </row>
    <row r="39" spans="1:14" x14ac:dyDescent="0.25">
      <c r="A39" s="2" t="s">
        <v>135</v>
      </c>
      <c r="B39" s="15">
        <v>0</v>
      </c>
      <c r="C39" s="15">
        <v>0</v>
      </c>
      <c r="D39" s="15">
        <v>-40</v>
      </c>
      <c r="E39" s="15">
        <v>-1089</v>
      </c>
      <c r="F39" s="15">
        <v>1002</v>
      </c>
      <c r="G39" s="15">
        <v>65</v>
      </c>
      <c r="H39" s="15">
        <v>-366</v>
      </c>
      <c r="I39" s="15">
        <v>-357</v>
      </c>
      <c r="J39" s="15">
        <v>203</v>
      </c>
      <c r="K39" s="15">
        <v>227</v>
      </c>
      <c r="L39" s="15">
        <v>-588</v>
      </c>
      <c r="M39" s="15">
        <v>-59</v>
      </c>
      <c r="N39" s="61">
        <f>SUM(B39:M39)</f>
        <v>-1002</v>
      </c>
    </row>
    <row r="40" spans="1:14" x14ac:dyDescent="0.25">
      <c r="A40" s="2" t="s">
        <v>136</v>
      </c>
      <c r="B40" s="15">
        <v>2412900</v>
      </c>
      <c r="C40" s="15">
        <v>7684400</v>
      </c>
      <c r="D40" s="15">
        <v>1754300</v>
      </c>
      <c r="E40" s="15">
        <v>6277600</v>
      </c>
      <c r="F40" s="15">
        <v>4314500</v>
      </c>
      <c r="G40" s="15">
        <v>4203150</v>
      </c>
      <c r="H40" s="15">
        <v>2974600</v>
      </c>
      <c r="I40" s="15">
        <v>2057100</v>
      </c>
      <c r="J40" s="15">
        <v>985000</v>
      </c>
      <c r="K40" s="15">
        <v>0</v>
      </c>
      <c r="L40" s="15">
        <v>0</v>
      </c>
      <c r="M40" s="15">
        <v>0</v>
      </c>
      <c r="N40" s="61">
        <f t="shared" ref="N40:N48" si="6">SUM(B40:M40)</f>
        <v>32663550</v>
      </c>
    </row>
    <row r="41" spans="1:14" x14ac:dyDescent="0.25">
      <c r="A41" s="2" t="s">
        <v>137</v>
      </c>
      <c r="B41" s="15">
        <v>-3057565</v>
      </c>
      <c r="C41" s="15">
        <v>-5752796</v>
      </c>
      <c r="D41" s="15">
        <v>-2217305</v>
      </c>
      <c r="E41" s="15">
        <v>-6199793</v>
      </c>
      <c r="F41" s="15">
        <v>-4146600</v>
      </c>
      <c r="G41" s="15">
        <v>-4160650</v>
      </c>
      <c r="H41" s="15">
        <v>-2734600</v>
      </c>
      <c r="I41" s="15">
        <v>-1652100</v>
      </c>
      <c r="J41" s="15">
        <v>-675000</v>
      </c>
      <c r="K41" s="15">
        <v>0</v>
      </c>
      <c r="L41" s="15">
        <v>0</v>
      </c>
      <c r="M41" s="15">
        <v>0</v>
      </c>
      <c r="N41" s="61">
        <f t="shared" si="6"/>
        <v>-30596409</v>
      </c>
    </row>
    <row r="42" spans="1:14" x14ac:dyDescent="0.25">
      <c r="A42" s="2" t="s">
        <v>138</v>
      </c>
      <c r="B42" s="15">
        <v>-10240</v>
      </c>
      <c r="C42" s="15">
        <v>-20132</v>
      </c>
      <c r="D42" s="15">
        <v>-18296</v>
      </c>
      <c r="E42" s="15">
        <v>-20102</v>
      </c>
      <c r="F42" s="15">
        <v>-17063</v>
      </c>
      <c r="G42" s="15">
        <v>-16261</v>
      </c>
      <c r="H42" s="15">
        <v>-17118</v>
      </c>
      <c r="I42" s="15">
        <v>-3104</v>
      </c>
      <c r="J42" s="15">
        <v>-1190</v>
      </c>
      <c r="K42" s="15">
        <v>0</v>
      </c>
      <c r="L42" s="15">
        <v>0</v>
      </c>
      <c r="M42" s="15">
        <v>0</v>
      </c>
      <c r="N42" s="61">
        <f t="shared" si="6"/>
        <v>-123506</v>
      </c>
    </row>
    <row r="43" spans="1:14" x14ac:dyDescent="0.25">
      <c r="A43" s="2" t="s">
        <v>139</v>
      </c>
      <c r="B43" s="15">
        <v>-9883</v>
      </c>
      <c r="C43" s="15">
        <v>-11923</v>
      </c>
      <c r="D43" s="15">
        <v>-7424</v>
      </c>
      <c r="E43" s="15">
        <v>-4151</v>
      </c>
      <c r="F43" s="15">
        <v>-10012</v>
      </c>
      <c r="G43" s="15">
        <v>-8997</v>
      </c>
      <c r="H43" s="15">
        <v>-10817</v>
      </c>
      <c r="I43" s="15">
        <v>-16417</v>
      </c>
      <c r="J43" s="15">
        <v>-18243</v>
      </c>
      <c r="K43" s="15">
        <v>-19596</v>
      </c>
      <c r="L43" s="15">
        <v>-14083</v>
      </c>
      <c r="M43" s="15">
        <v>-12560</v>
      </c>
      <c r="N43" s="61">
        <f t="shared" si="6"/>
        <v>-144106</v>
      </c>
    </row>
    <row r="44" spans="1:14" x14ac:dyDescent="0.25">
      <c r="A44" s="2" t="s">
        <v>140</v>
      </c>
      <c r="B44" s="15">
        <v>8230501</v>
      </c>
      <c r="C44" s="15">
        <v>14328298</v>
      </c>
      <c r="D44" s="15">
        <v>10805546</v>
      </c>
      <c r="E44" s="15">
        <v>11786432</v>
      </c>
      <c r="F44" s="15">
        <v>10892502</v>
      </c>
      <c r="G44" s="15">
        <v>10198962</v>
      </c>
      <c r="H44" s="15">
        <v>9610035</v>
      </c>
      <c r="I44" s="15">
        <v>9553805</v>
      </c>
      <c r="J44" s="15">
        <v>7783000</v>
      </c>
      <c r="K44" s="15">
        <v>6907000</v>
      </c>
      <c r="L44" s="15">
        <v>5851000</v>
      </c>
      <c r="M44" s="15">
        <v>5130000</v>
      </c>
      <c r="N44" s="61">
        <f t="shared" si="6"/>
        <v>111077081</v>
      </c>
    </row>
    <row r="45" spans="1:14" x14ac:dyDescent="0.25">
      <c r="A45" s="2" t="s">
        <v>141</v>
      </c>
      <c r="B45" s="15">
        <v>-7576056</v>
      </c>
      <c r="C45" s="15">
        <v>-12626308</v>
      </c>
      <c r="D45" s="15">
        <v>-10654011</v>
      </c>
      <c r="E45" s="15">
        <v>-10708564</v>
      </c>
      <c r="F45" s="15">
        <v>-10001712</v>
      </c>
      <c r="G45" s="15">
        <v>-9296773</v>
      </c>
      <c r="H45" s="15">
        <v>-8395360</v>
      </c>
      <c r="I45" s="15">
        <v>-8496684</v>
      </c>
      <c r="J45" s="15">
        <v>-6560815</v>
      </c>
      <c r="K45" s="15">
        <v>-5513646</v>
      </c>
      <c r="L45" s="15">
        <v>-4679999</v>
      </c>
      <c r="M45" s="15">
        <v>-4459572</v>
      </c>
      <c r="N45" s="61">
        <f t="shared" si="6"/>
        <v>-98969500</v>
      </c>
    </row>
    <row r="46" spans="1:14" x14ac:dyDescent="0.25">
      <c r="A46" s="2" t="s">
        <v>142</v>
      </c>
      <c r="B46" s="15">
        <v>-325168</v>
      </c>
      <c r="C46" s="15">
        <v>-576478</v>
      </c>
      <c r="D46" s="15">
        <v>-229938</v>
      </c>
      <c r="E46" s="15">
        <v>-567747</v>
      </c>
      <c r="F46" s="15">
        <v>-904726</v>
      </c>
      <c r="G46" s="15">
        <v>-579570</v>
      </c>
      <c r="H46" s="15">
        <v>-564337</v>
      </c>
      <c r="I46" s="15">
        <v>-983941</v>
      </c>
      <c r="J46" s="15">
        <v>-924328</v>
      </c>
      <c r="K46" s="15">
        <v>-313394</v>
      </c>
      <c r="L46" s="15">
        <v>-203405</v>
      </c>
      <c r="M46" s="15">
        <v>0</v>
      </c>
      <c r="N46" s="61">
        <f t="shared" si="6"/>
        <v>-6173032</v>
      </c>
    </row>
    <row r="47" spans="1:14" x14ac:dyDescent="0.25">
      <c r="A47" s="2" t="s">
        <v>143</v>
      </c>
      <c r="B47" s="15">
        <v>13282</v>
      </c>
      <c r="C47" s="15">
        <v>79805</v>
      </c>
      <c r="D47" s="15">
        <v>143148</v>
      </c>
      <c r="E47" s="15">
        <v>124397</v>
      </c>
      <c r="F47" s="15">
        <v>58130</v>
      </c>
      <c r="G47" s="15">
        <v>73520</v>
      </c>
      <c r="H47" s="15">
        <v>59869</v>
      </c>
      <c r="I47" s="15">
        <v>47038</v>
      </c>
      <c r="J47" s="15">
        <v>89810</v>
      </c>
      <c r="K47" s="15">
        <v>45146</v>
      </c>
      <c r="L47" s="15">
        <v>63396</v>
      </c>
      <c r="M47" s="15">
        <v>15577</v>
      </c>
      <c r="N47" s="61">
        <f t="shared" si="6"/>
        <v>813118</v>
      </c>
    </row>
    <row r="48" spans="1:14" x14ac:dyDescent="0.25">
      <c r="A48" s="2" t="s">
        <v>144</v>
      </c>
      <c r="B48" s="15">
        <v>0</v>
      </c>
      <c r="C48" s="15">
        <v>0</v>
      </c>
      <c r="D48" s="15">
        <v>0</v>
      </c>
      <c r="E48" s="15">
        <v>0</v>
      </c>
      <c r="F48" s="15">
        <v>0</v>
      </c>
      <c r="G48" s="15">
        <v>0</v>
      </c>
      <c r="H48" s="15">
        <v>0</v>
      </c>
      <c r="I48" s="15">
        <v>32136</v>
      </c>
      <c r="J48" s="15">
        <v>50142</v>
      </c>
      <c r="K48" s="15">
        <v>22644</v>
      </c>
      <c r="L48" s="15">
        <v>24100</v>
      </c>
      <c r="M48" s="15">
        <v>9717</v>
      </c>
      <c r="N48" s="61">
        <f t="shared" si="6"/>
        <v>138739</v>
      </c>
    </row>
    <row r="49" spans="1:14" x14ac:dyDescent="0.25">
      <c r="A49" s="12" t="s">
        <v>145</v>
      </c>
      <c r="B49" s="19">
        <f>SUM(B39:B48)</f>
        <v>-322229</v>
      </c>
      <c r="C49" s="19">
        <f t="shared" ref="C49:H49" si="7">SUM(C39:C48)</f>
        <v>3104866</v>
      </c>
      <c r="D49" s="19">
        <f t="shared" si="7"/>
        <v>-424020</v>
      </c>
      <c r="E49" s="19">
        <f t="shared" si="7"/>
        <v>686983</v>
      </c>
      <c r="F49" s="19">
        <f t="shared" si="7"/>
        <v>186021</v>
      </c>
      <c r="G49" s="19">
        <f t="shared" si="7"/>
        <v>413446</v>
      </c>
      <c r="H49" s="19">
        <f t="shared" si="7"/>
        <v>921906</v>
      </c>
      <c r="I49" s="19">
        <f t="shared" ref="I49:N49" si="8">SUM(I39:I48)</f>
        <v>537476</v>
      </c>
      <c r="J49" s="19">
        <f t="shared" si="8"/>
        <v>728579</v>
      </c>
      <c r="K49" s="19">
        <f t="shared" si="8"/>
        <v>1128381</v>
      </c>
      <c r="L49" s="19">
        <f t="shared" si="8"/>
        <v>1040421</v>
      </c>
      <c r="M49" s="19">
        <f t="shared" si="8"/>
        <v>683103</v>
      </c>
      <c r="N49" s="19">
        <f t="shared" si="8"/>
        <v>8684933</v>
      </c>
    </row>
    <row r="50" spans="1:14" x14ac:dyDescent="0.25">
      <c r="A50" s="2" t="s">
        <v>146</v>
      </c>
      <c r="B50" s="15">
        <f>B49+B37+B23</f>
        <v>-49955</v>
      </c>
      <c r="C50" s="15">
        <f t="shared" ref="C50:H50" si="9">C49+C37+C23</f>
        <v>31671</v>
      </c>
      <c r="D50" s="15">
        <f t="shared" si="9"/>
        <v>115557</v>
      </c>
      <c r="E50" s="15">
        <f t="shared" si="9"/>
        <v>61013</v>
      </c>
      <c r="F50" s="15">
        <f t="shared" si="9"/>
        <v>40479</v>
      </c>
      <c r="G50" s="15">
        <f t="shared" si="9"/>
        <v>31033</v>
      </c>
      <c r="H50" s="15">
        <f t="shared" si="9"/>
        <v>46636</v>
      </c>
      <c r="I50" s="15">
        <f t="shared" ref="I50:M50" si="10">I49+I37+I23</f>
        <v>9788</v>
      </c>
      <c r="J50" s="15">
        <f t="shared" si="10"/>
        <v>-600295</v>
      </c>
      <c r="K50" s="15">
        <f t="shared" si="10"/>
        <v>178537</v>
      </c>
      <c r="L50" s="15">
        <f t="shared" si="10"/>
        <v>6706</v>
      </c>
      <c r="M50" s="15">
        <f t="shared" si="10"/>
        <v>401537</v>
      </c>
      <c r="N50" s="61"/>
    </row>
    <row r="51" spans="1:14" x14ac:dyDescent="0.25">
      <c r="A51" s="2" t="s">
        <v>147</v>
      </c>
      <c r="B51" s="15">
        <v>803618</v>
      </c>
      <c r="C51" s="15">
        <v>771947</v>
      </c>
      <c r="D51" s="15">
        <v>656390</v>
      </c>
      <c r="E51" s="15">
        <v>595377</v>
      </c>
      <c r="F51" s="15">
        <v>554898</v>
      </c>
      <c r="G51" s="15">
        <v>523865</v>
      </c>
      <c r="H51" s="15">
        <v>477229</v>
      </c>
      <c r="I51" s="15">
        <v>27606</v>
      </c>
      <c r="J51" s="15">
        <v>627901</v>
      </c>
      <c r="K51" s="15">
        <v>449364</v>
      </c>
      <c r="L51" s="15">
        <v>442658</v>
      </c>
      <c r="M51" s="15">
        <v>41121</v>
      </c>
      <c r="N51" s="61"/>
    </row>
    <row r="52" spans="1:14" ht="20" thickBot="1" x14ac:dyDescent="0.3">
      <c r="A52" s="12" t="s">
        <v>148</v>
      </c>
      <c r="B52" s="17">
        <f>SUM(B50:B51)</f>
        <v>753663</v>
      </c>
      <c r="C52" s="17">
        <f t="shared" ref="C52:H52" si="11">SUM(C50:C51)</f>
        <v>803618</v>
      </c>
      <c r="D52" s="17">
        <f t="shared" si="11"/>
        <v>771947</v>
      </c>
      <c r="E52" s="17">
        <f t="shared" si="11"/>
        <v>656390</v>
      </c>
      <c r="F52" s="17">
        <f t="shared" si="11"/>
        <v>595377</v>
      </c>
      <c r="G52" s="17">
        <f t="shared" si="11"/>
        <v>554898</v>
      </c>
      <c r="H52" s="17">
        <f t="shared" si="11"/>
        <v>523865</v>
      </c>
      <c r="I52" s="17">
        <f t="shared" ref="I52:N52" si="12">SUM(I50:I51)</f>
        <v>37394</v>
      </c>
      <c r="J52" s="17">
        <f t="shared" si="12"/>
        <v>27606</v>
      </c>
      <c r="K52" s="17">
        <f t="shared" si="12"/>
        <v>627901</v>
      </c>
      <c r="L52" s="17">
        <f t="shared" si="12"/>
        <v>449364</v>
      </c>
      <c r="M52" s="17">
        <f t="shared" si="12"/>
        <v>442658</v>
      </c>
      <c r="N52" s="17">
        <f t="shared" si="12"/>
        <v>0</v>
      </c>
    </row>
    <row r="53" spans="1:14" ht="20" thickTop="1" x14ac:dyDescent="0.25">
      <c r="B53" s="111" t="s">
        <v>177</v>
      </c>
      <c r="C53" s="111"/>
      <c r="D53" s="111"/>
      <c r="E53" s="111"/>
      <c r="F53" s="111"/>
      <c r="G53" s="111"/>
      <c r="H53" s="111"/>
      <c r="I53" s="15"/>
      <c r="J53" s="15"/>
      <c r="K53" s="15"/>
      <c r="L53" s="15"/>
      <c r="M53" s="15"/>
    </row>
    <row r="54" spans="1:14" x14ac:dyDescent="0.25">
      <c r="B54" s="15"/>
      <c r="C54" s="15"/>
      <c r="D54" s="15"/>
      <c r="E54" s="15"/>
      <c r="F54" s="15"/>
      <c r="G54" s="15"/>
      <c r="H54" s="15"/>
      <c r="I54" s="15"/>
      <c r="J54" s="15"/>
      <c r="K54" s="15"/>
      <c r="L54" s="15"/>
      <c r="M54" s="15"/>
    </row>
    <row r="55" spans="1:14" x14ac:dyDescent="0.25">
      <c r="A55" s="12" t="s">
        <v>150</v>
      </c>
      <c r="B55" s="15"/>
      <c r="C55" s="15"/>
      <c r="D55" s="15"/>
      <c r="E55" s="15"/>
      <c r="F55" s="15"/>
      <c r="G55" s="15"/>
      <c r="H55" s="15"/>
      <c r="I55" s="15"/>
      <c r="J55" s="15"/>
      <c r="K55" s="15"/>
      <c r="L55" s="15"/>
      <c r="M55" s="15"/>
    </row>
    <row r="56" spans="1:14" x14ac:dyDescent="0.25">
      <c r="A56" s="2" t="s">
        <v>151</v>
      </c>
      <c r="B56" s="15">
        <f>B23</f>
        <v>479589</v>
      </c>
      <c r="C56" s="15">
        <f t="shared" ref="C56:H56" si="13">C23</f>
        <v>-2549450</v>
      </c>
      <c r="D56" s="15">
        <f t="shared" si="13"/>
        <v>667760</v>
      </c>
      <c r="E56" s="15">
        <f t="shared" si="13"/>
        <v>-236606</v>
      </c>
      <c r="F56" s="15">
        <f t="shared" si="13"/>
        <v>162971</v>
      </c>
      <c r="G56" s="15">
        <f t="shared" si="13"/>
        <v>-80550</v>
      </c>
      <c r="H56" s="15">
        <f t="shared" si="13"/>
        <v>-455311</v>
      </c>
      <c r="I56" s="15">
        <f t="shared" ref="I56:M56" si="14">I23</f>
        <v>-148893</v>
      </c>
      <c r="J56" s="15">
        <f t="shared" si="14"/>
        <v>-968130</v>
      </c>
      <c r="K56" s="15">
        <f t="shared" si="14"/>
        <v>-613163</v>
      </c>
      <c r="L56" s="15">
        <f t="shared" si="14"/>
        <v>-778441</v>
      </c>
      <c r="M56" s="15">
        <f t="shared" si="14"/>
        <v>-62164</v>
      </c>
      <c r="N56" s="61">
        <f>SUM(B56:M56)</f>
        <v>-4582388</v>
      </c>
    </row>
    <row r="57" spans="1:14" x14ac:dyDescent="0.25">
      <c r="A57" s="2" t="s">
        <v>152</v>
      </c>
      <c r="B57" s="15">
        <f>SUM(B44:B45)</f>
        <v>654445</v>
      </c>
      <c r="C57" s="15">
        <f t="shared" ref="C57:H57" si="15">SUM(C44:C45)</f>
        <v>1701990</v>
      </c>
      <c r="D57" s="15">
        <f t="shared" si="15"/>
        <v>151535</v>
      </c>
      <c r="E57" s="15">
        <f t="shared" si="15"/>
        <v>1077868</v>
      </c>
      <c r="F57" s="15">
        <f t="shared" si="15"/>
        <v>890790</v>
      </c>
      <c r="G57" s="15">
        <f>SUM(G44:G45)</f>
        <v>902189</v>
      </c>
      <c r="H57" s="15">
        <f t="shared" si="15"/>
        <v>1214675</v>
      </c>
      <c r="I57" s="15">
        <f t="shared" ref="I57:M57" si="16">SUM(I44:I45)</f>
        <v>1057121</v>
      </c>
      <c r="J57" s="15">
        <f t="shared" si="16"/>
        <v>1222185</v>
      </c>
      <c r="K57" s="15">
        <f t="shared" si="16"/>
        <v>1393354</v>
      </c>
      <c r="L57" s="15">
        <f t="shared" si="16"/>
        <v>1171001</v>
      </c>
      <c r="M57" s="15">
        <f t="shared" si="16"/>
        <v>670428</v>
      </c>
      <c r="N57" s="61">
        <f>SUM(B57:M57)</f>
        <v>12107581</v>
      </c>
    </row>
    <row r="58" spans="1:14" ht="20" thickBot="1" x14ac:dyDescent="0.3">
      <c r="A58" s="12" t="s">
        <v>153</v>
      </c>
      <c r="B58" s="17">
        <f>SUM(B56:B57)</f>
        <v>1134034</v>
      </c>
      <c r="C58" s="17">
        <f t="shared" ref="C58:H58" si="17">SUM(C56:C57)</f>
        <v>-847460</v>
      </c>
      <c r="D58" s="17">
        <f t="shared" si="17"/>
        <v>819295</v>
      </c>
      <c r="E58" s="17">
        <f t="shared" si="17"/>
        <v>841262</v>
      </c>
      <c r="F58" s="17">
        <f t="shared" si="17"/>
        <v>1053761</v>
      </c>
      <c r="G58" s="17">
        <f t="shared" si="17"/>
        <v>821639</v>
      </c>
      <c r="H58" s="17">
        <f t="shared" si="17"/>
        <v>759364</v>
      </c>
      <c r="I58" s="17">
        <f t="shared" ref="I58:N58" si="18">SUM(I56:I57)</f>
        <v>908228</v>
      </c>
      <c r="J58" s="17">
        <f t="shared" si="18"/>
        <v>254055</v>
      </c>
      <c r="K58" s="17">
        <f t="shared" si="18"/>
        <v>780191</v>
      </c>
      <c r="L58" s="17">
        <f t="shared" si="18"/>
        <v>392560</v>
      </c>
      <c r="M58" s="17">
        <f t="shared" si="18"/>
        <v>608264</v>
      </c>
      <c r="N58" s="17">
        <f t="shared" si="18"/>
        <v>7525193</v>
      </c>
    </row>
    <row r="59" spans="1:14" ht="20" thickTop="1" x14ac:dyDescent="0.25">
      <c r="B59" s="15"/>
      <c r="C59" s="15"/>
      <c r="D59" s="15"/>
      <c r="E59" s="15"/>
      <c r="F59" s="15"/>
      <c r="G59" s="15"/>
      <c r="H59" s="15"/>
      <c r="I59" s="15"/>
      <c r="J59" s="15"/>
      <c r="K59" s="15"/>
      <c r="L59" s="15"/>
      <c r="M59" s="15"/>
    </row>
    <row r="60" spans="1:14" x14ac:dyDescent="0.25">
      <c r="A60" s="12" t="s">
        <v>154</v>
      </c>
      <c r="B60" s="13">
        <f>B58+B25</f>
        <v>929571</v>
      </c>
      <c r="C60" s="13">
        <f t="shared" ref="C60:H60" si="19">C58+C25</f>
        <v>-1155994</v>
      </c>
      <c r="D60" s="13">
        <f t="shared" si="19"/>
        <v>654759</v>
      </c>
      <c r="E60" s="13">
        <f t="shared" si="19"/>
        <v>509366</v>
      </c>
      <c r="F60" s="13">
        <f t="shared" si="19"/>
        <v>749125</v>
      </c>
      <c r="G60" s="13">
        <f t="shared" si="19"/>
        <v>524823</v>
      </c>
      <c r="H60" s="13">
        <f t="shared" si="19"/>
        <v>341220</v>
      </c>
      <c r="I60" s="13">
        <f t="shared" ref="I60:N60" si="20">I58+I25</f>
        <v>592644</v>
      </c>
      <c r="J60" s="13">
        <f t="shared" si="20"/>
        <v>-55762</v>
      </c>
      <c r="K60" s="13">
        <f t="shared" si="20"/>
        <v>469874</v>
      </c>
      <c r="L60" s="13">
        <f t="shared" si="20"/>
        <v>156853</v>
      </c>
      <c r="M60" s="13">
        <f t="shared" si="20"/>
        <v>435656</v>
      </c>
      <c r="N60" s="13">
        <f t="shared" si="20"/>
        <v>4152135</v>
      </c>
    </row>
    <row r="61" spans="1:14" x14ac:dyDescent="0.25">
      <c r="A61" s="2" t="s">
        <v>20</v>
      </c>
      <c r="B61" s="21">
        <f>B60/B6</f>
        <v>2.4580770552925935</v>
      </c>
      <c r="C61" s="21">
        <f t="shared" ref="C61:H61" si="21">C60/C6</f>
        <v>-1.0040797465814641</v>
      </c>
      <c r="D61" s="21">
        <f t="shared" si="21"/>
        <v>0.87661312672458458</v>
      </c>
      <c r="E61" s="21">
        <f t="shared" si="21"/>
        <v>0.57333079703252809</v>
      </c>
      <c r="F61" s="21">
        <f t="shared" si="21"/>
        <v>0.88926096819493528</v>
      </c>
      <c r="G61" s="21">
        <f t="shared" si="21"/>
        <v>0.79026278699978314</v>
      </c>
      <c r="H61" s="21">
        <f t="shared" si="21"/>
        <v>0.5442365663428872</v>
      </c>
      <c r="I61" s="21">
        <f t="shared" ref="I61:N61" si="22">I60/I6</f>
        <v>0.9506214029527067</v>
      </c>
      <c r="J61" s="21">
        <f t="shared" si="22"/>
        <v>-9.3347707739747349E-2</v>
      </c>
      <c r="K61" s="21">
        <f t="shared" si="22"/>
        <v>0.95389231525053497</v>
      </c>
      <c r="L61" s="21">
        <f t="shared" si="22"/>
        <v>0.36117609674775031</v>
      </c>
      <c r="M61" s="21">
        <f t="shared" si="22"/>
        <v>1.0528305078601723</v>
      </c>
      <c r="N61" s="21">
        <f t="shared" si="22"/>
        <v>0.528277244930351</v>
      </c>
    </row>
    <row r="62" spans="1:14" x14ac:dyDescent="0.25">
      <c r="B62" s="15"/>
      <c r="C62" s="15"/>
      <c r="D62" s="15"/>
      <c r="E62" s="15"/>
      <c r="F62" s="15"/>
      <c r="G62" s="15"/>
      <c r="H62" s="15"/>
      <c r="I62" s="15"/>
      <c r="J62" s="15"/>
      <c r="K62" s="15"/>
      <c r="L62" s="15"/>
      <c r="M62" s="15"/>
    </row>
    <row r="63" spans="1:14" x14ac:dyDescent="0.25">
      <c r="A63" s="12" t="s">
        <v>184</v>
      </c>
      <c r="B63" s="15"/>
      <c r="C63" s="15"/>
      <c r="D63" s="15"/>
      <c r="E63" s="15"/>
      <c r="F63" s="15"/>
      <c r="G63" s="15"/>
      <c r="H63" s="15"/>
      <c r="I63" s="15"/>
      <c r="J63" s="15"/>
      <c r="K63" s="15"/>
      <c r="L63" s="15"/>
      <c r="M63" s="15"/>
    </row>
    <row r="64" spans="1:14" x14ac:dyDescent="0.25">
      <c r="A64" s="2" t="s">
        <v>180</v>
      </c>
      <c r="B64" s="15">
        <f>B18</f>
        <v>-804855</v>
      </c>
      <c r="C64" s="15">
        <f t="shared" ref="C64:M64" si="23">C18</f>
        <v>-1941574</v>
      </c>
      <c r="D64" s="15">
        <f t="shared" si="23"/>
        <v>-300838</v>
      </c>
      <c r="E64" s="15">
        <f t="shared" si="23"/>
        <v>-1308919</v>
      </c>
      <c r="F64" s="15">
        <f t="shared" si="23"/>
        <v>-1046631</v>
      </c>
      <c r="G64" s="15">
        <f t="shared" si="23"/>
        <v>-1077219</v>
      </c>
      <c r="H64" s="15">
        <f t="shared" si="23"/>
        <v>-1209782</v>
      </c>
      <c r="I64" s="15">
        <f t="shared" si="23"/>
        <v>-1202587</v>
      </c>
      <c r="J64" s="15">
        <f t="shared" si="23"/>
        <v>-1369999</v>
      </c>
      <c r="K64" s="15">
        <f t="shared" si="23"/>
        <v>-1324142</v>
      </c>
      <c r="L64" s="15">
        <f t="shared" si="23"/>
        <v>-992239</v>
      </c>
      <c r="M64" s="15">
        <f t="shared" si="23"/>
        <v>-675711</v>
      </c>
    </row>
    <row r="65" spans="1:13" x14ac:dyDescent="0.25">
      <c r="A65" s="2" t="s">
        <v>181</v>
      </c>
      <c r="B65" s="15">
        <f>B44</f>
        <v>8230501</v>
      </c>
      <c r="C65" s="15">
        <f t="shared" ref="C65:M65" si="24">C44</f>
        <v>14328298</v>
      </c>
      <c r="D65" s="15">
        <f t="shared" si="24"/>
        <v>10805546</v>
      </c>
      <c r="E65" s="15">
        <f t="shared" si="24"/>
        <v>11786432</v>
      </c>
      <c r="F65" s="15">
        <f t="shared" si="24"/>
        <v>10892502</v>
      </c>
      <c r="G65" s="15">
        <f t="shared" si="24"/>
        <v>10198962</v>
      </c>
      <c r="H65" s="15">
        <f t="shared" si="24"/>
        <v>9610035</v>
      </c>
      <c r="I65" s="15">
        <f t="shared" si="24"/>
        <v>9553805</v>
      </c>
      <c r="J65" s="15">
        <f t="shared" si="24"/>
        <v>7783000</v>
      </c>
      <c r="K65" s="15">
        <f t="shared" si="24"/>
        <v>6907000</v>
      </c>
      <c r="L65" s="15">
        <f t="shared" si="24"/>
        <v>5851000</v>
      </c>
      <c r="M65" s="15">
        <f t="shared" si="24"/>
        <v>5130000</v>
      </c>
    </row>
    <row r="66" spans="1:13" x14ac:dyDescent="0.25">
      <c r="A66" s="2" t="s">
        <v>182</v>
      </c>
      <c r="B66" s="15">
        <f>B45</f>
        <v>-7576056</v>
      </c>
      <c r="C66" s="15">
        <f t="shared" ref="C66:M66" si="25">C45</f>
        <v>-12626308</v>
      </c>
      <c r="D66" s="15">
        <f t="shared" si="25"/>
        <v>-10654011</v>
      </c>
      <c r="E66" s="15">
        <f t="shared" si="25"/>
        <v>-10708564</v>
      </c>
      <c r="F66" s="15">
        <f t="shared" si="25"/>
        <v>-10001712</v>
      </c>
      <c r="G66" s="15">
        <f t="shared" si="25"/>
        <v>-9296773</v>
      </c>
      <c r="H66" s="15">
        <f t="shared" si="25"/>
        <v>-8395360</v>
      </c>
      <c r="I66" s="15">
        <f t="shared" si="25"/>
        <v>-8496684</v>
      </c>
      <c r="J66" s="15">
        <f t="shared" si="25"/>
        <v>-6560815</v>
      </c>
      <c r="K66" s="15">
        <f t="shared" si="25"/>
        <v>-5513646</v>
      </c>
      <c r="L66" s="15">
        <f t="shared" si="25"/>
        <v>-4679999</v>
      </c>
      <c r="M66" s="15">
        <f t="shared" si="25"/>
        <v>-4459572</v>
      </c>
    </row>
    <row r="67" spans="1:13" ht="20" thickBot="1" x14ac:dyDescent="0.3">
      <c r="A67" s="12" t="s">
        <v>185</v>
      </c>
      <c r="B67" s="17">
        <f>SUM(B64:B66)</f>
        <v>-150410</v>
      </c>
      <c r="C67" s="17">
        <f t="shared" ref="C67:M67" si="26">SUM(C64:C66)</f>
        <v>-239584</v>
      </c>
      <c r="D67" s="17">
        <f t="shared" si="26"/>
        <v>-149303</v>
      </c>
      <c r="E67" s="17">
        <f t="shared" si="26"/>
        <v>-231051</v>
      </c>
      <c r="F67" s="17">
        <f t="shared" si="26"/>
        <v>-155841</v>
      </c>
      <c r="G67" s="17">
        <f t="shared" si="26"/>
        <v>-175030</v>
      </c>
      <c r="H67" s="17">
        <f t="shared" si="26"/>
        <v>4893</v>
      </c>
      <c r="I67" s="17">
        <f t="shared" si="26"/>
        <v>-145466</v>
      </c>
      <c r="J67" s="17">
        <f t="shared" si="26"/>
        <v>-147814</v>
      </c>
      <c r="K67" s="17">
        <f t="shared" si="26"/>
        <v>69212</v>
      </c>
      <c r="L67" s="17">
        <f t="shared" si="26"/>
        <v>178762</v>
      </c>
      <c r="M67" s="17">
        <f t="shared" si="26"/>
        <v>-5283</v>
      </c>
    </row>
    <row r="68" spans="1:13" ht="20" thickTop="1" x14ac:dyDescent="0.25">
      <c r="B68" s="15"/>
      <c r="C68" s="15"/>
      <c r="D68" s="15"/>
      <c r="E68" s="15"/>
      <c r="F68" s="15"/>
      <c r="G68" s="15"/>
      <c r="H68" s="15"/>
      <c r="I68" s="15"/>
      <c r="J68" s="15"/>
      <c r="K68" s="15"/>
      <c r="L68" s="15"/>
      <c r="M68" s="15"/>
    </row>
    <row r="69" spans="1:13" x14ac:dyDescent="0.25">
      <c r="A69" s="12" t="s">
        <v>186</v>
      </c>
      <c r="B69" s="15"/>
      <c r="C69" s="15"/>
      <c r="D69" s="15"/>
      <c r="E69" s="15"/>
      <c r="F69" s="15"/>
      <c r="G69" s="15"/>
      <c r="H69" s="15"/>
      <c r="I69" s="15"/>
      <c r="J69" s="15"/>
      <c r="K69" s="15"/>
      <c r="L69" s="15"/>
      <c r="M69" s="15"/>
    </row>
    <row r="70" spans="1:13" x14ac:dyDescent="0.25">
      <c r="A70" s="2" t="s">
        <v>187</v>
      </c>
      <c r="B70" s="15">
        <f>'Balance Sheet'!B15</f>
        <v>15961213</v>
      </c>
      <c r="C70" s="15">
        <f>'Balance Sheet'!C15</f>
        <v>15289701</v>
      </c>
      <c r="D70" s="15">
        <f>'Balance Sheet'!D15</f>
        <v>13489819</v>
      </c>
      <c r="E70" s="15">
        <f>'Balance Sheet'!E15</f>
        <v>13551711</v>
      </c>
      <c r="F70" s="15">
        <f>'Balance Sheet'!F15</f>
        <v>12428487</v>
      </c>
      <c r="G70" s="15">
        <f>'Balance Sheet'!G15</f>
        <v>11535704</v>
      </c>
      <c r="H70" s="15">
        <f>'Balance Sheet'!H15</f>
        <v>10596076</v>
      </c>
      <c r="I70" s="15">
        <f>'Balance Sheet'!I15</f>
        <v>9536892</v>
      </c>
      <c r="J70" s="15">
        <f>'Balance Sheet'!J15</f>
        <v>8435504</v>
      </c>
      <c r="K70" s="15">
        <f>'Balance Sheet'!K15</f>
        <v>7147848</v>
      </c>
      <c r="L70" s="15">
        <f>'Balance Sheet'!L15</f>
        <v>5895918</v>
      </c>
      <c r="M70" s="15">
        <f>'Balance Sheet'!M15</f>
        <v>4959847</v>
      </c>
    </row>
    <row r="71" spans="1:13" x14ac:dyDescent="0.25">
      <c r="A71" s="2" t="s">
        <v>188</v>
      </c>
      <c r="B71" s="15">
        <f>'Balance Sheet'!B32+'Balance Sheet'!B36</f>
        <v>16094593</v>
      </c>
      <c r="C71" s="15">
        <f>'Balance Sheet'!C32+'Balance Sheet'!C36</f>
        <v>15440784</v>
      </c>
      <c r="D71" s="15">
        <f>'Balance Sheet'!D32+'Balance Sheet'!D36</f>
        <v>13740156</v>
      </c>
      <c r="E71" s="15">
        <f>'Balance Sheet'!E32+'Balance Sheet'!E36</f>
        <v>13589549</v>
      </c>
      <c r="F71" s="15">
        <f>'Balance Sheet'!F32+'Balance Sheet'!F36</f>
        <v>12512334</v>
      </c>
      <c r="G71" s="15">
        <f>'Balance Sheet'!G32+'Balance Sheet'!G36</f>
        <v>11622397</v>
      </c>
      <c r="H71" s="15">
        <f>'Balance Sheet'!H32+'Balance Sheet'!H36</f>
        <v>10720944</v>
      </c>
      <c r="I71" s="15">
        <f>'Balance Sheet'!I32+'Balance Sheet'!I36</f>
        <v>9527750</v>
      </c>
      <c r="J71" s="15">
        <f>'Balance Sheet'!J32+'Balance Sheet'!J36</f>
        <v>8470629</v>
      </c>
      <c r="K71" s="15">
        <f>'Balance Sheet'!K32+'Balance Sheet'!K36</f>
        <v>7248444</v>
      </c>
      <c r="L71" s="15">
        <f>'Balance Sheet'!L32+'Balance Sheet'!L36</f>
        <v>5855090</v>
      </c>
      <c r="M71" s="15">
        <f>'Balance Sheet'!M32+'Balance Sheet'!M36</f>
        <v>4684089</v>
      </c>
    </row>
    <row r="72" spans="1:13" x14ac:dyDescent="0.25">
      <c r="B72" s="15"/>
      <c r="C72" s="15"/>
      <c r="D72" s="15"/>
      <c r="E72" s="15"/>
      <c r="F72" s="15"/>
      <c r="G72" s="15"/>
      <c r="H72" s="15"/>
      <c r="I72" s="15"/>
      <c r="J72" s="15"/>
      <c r="K72" s="15"/>
      <c r="L72" s="15"/>
      <c r="M72" s="15"/>
    </row>
    <row r="73" spans="1:13" x14ac:dyDescent="0.25">
      <c r="B73" s="15"/>
      <c r="C73" s="15"/>
      <c r="D73" s="15"/>
      <c r="E73" s="15"/>
      <c r="F73" s="15"/>
      <c r="G73" s="15"/>
      <c r="H73" s="15"/>
      <c r="I73" s="15"/>
      <c r="J73" s="15"/>
      <c r="K73" s="15"/>
      <c r="L73" s="15"/>
      <c r="M73" s="15"/>
    </row>
    <row r="74" spans="1:13" x14ac:dyDescent="0.25">
      <c r="A74" s="12" t="s">
        <v>219</v>
      </c>
      <c r="B74" s="15"/>
      <c r="C74" s="15"/>
      <c r="D74" s="15"/>
      <c r="E74" s="15"/>
      <c r="F74" s="15"/>
      <c r="G74" s="15"/>
      <c r="H74" s="15"/>
      <c r="I74" s="15"/>
      <c r="J74" s="15"/>
      <c r="K74" s="15"/>
      <c r="L74" s="15"/>
      <c r="M74" s="15"/>
    </row>
    <row r="75" spans="1:13" x14ac:dyDescent="0.25">
      <c r="A75" s="12" t="s">
        <v>125</v>
      </c>
      <c r="B75" s="15"/>
      <c r="C75" s="15"/>
      <c r="D75" s="15"/>
      <c r="E75" s="15"/>
      <c r="F75" s="15"/>
      <c r="G75" s="15"/>
      <c r="H75" s="15"/>
      <c r="I75" s="15"/>
      <c r="J75" s="15"/>
      <c r="K75" s="15"/>
      <c r="L75" s="15"/>
      <c r="M75" s="15"/>
    </row>
    <row r="76" spans="1:13" x14ac:dyDescent="0.25">
      <c r="A76" s="2" t="s">
        <v>220</v>
      </c>
      <c r="B76" s="15">
        <f>B23</f>
        <v>479589</v>
      </c>
      <c r="C76" s="15">
        <f>C23</f>
        <v>-2549450</v>
      </c>
      <c r="D76" s="15">
        <f>D23</f>
        <v>667760</v>
      </c>
      <c r="E76" s="15">
        <f>E23</f>
        <v>-236606</v>
      </c>
      <c r="F76" s="15">
        <f>F23</f>
        <v>162971</v>
      </c>
      <c r="G76" s="15">
        <f>G23</f>
        <v>-80550</v>
      </c>
      <c r="H76" s="15">
        <f>H23</f>
        <v>-455311</v>
      </c>
      <c r="I76" s="15">
        <f>I23</f>
        <v>-148893</v>
      </c>
      <c r="J76" s="15">
        <f>J23</f>
        <v>-968130</v>
      </c>
      <c r="K76" s="15">
        <f>K23</f>
        <v>-613163</v>
      </c>
      <c r="L76" s="15">
        <f>L23</f>
        <v>-778441</v>
      </c>
      <c r="M76" s="15"/>
    </row>
    <row r="77" spans="1:13" x14ac:dyDescent="0.25">
      <c r="A77" s="2" t="s">
        <v>221</v>
      </c>
      <c r="B77" s="15">
        <f>SUM(B44:B45)</f>
        <v>654445</v>
      </c>
      <c r="C77" s="15">
        <f>SUM(C44:C45)</f>
        <v>1701990</v>
      </c>
      <c r="D77" s="15">
        <f>SUM(D44:D45)</f>
        <v>151535</v>
      </c>
      <c r="E77" s="15">
        <f>SUM(E44:E45)</f>
        <v>1077868</v>
      </c>
      <c r="F77" s="15">
        <f>SUM(F44:F45)</f>
        <v>890790</v>
      </c>
      <c r="G77" s="15">
        <f>SUM(G44:G45)</f>
        <v>902189</v>
      </c>
      <c r="H77" s="15">
        <f>SUM(H44:H45)</f>
        <v>1214675</v>
      </c>
      <c r="I77" s="15">
        <f>SUM(I44:I45)</f>
        <v>1057121</v>
      </c>
      <c r="J77" s="15">
        <f>SUM(J44:J45)</f>
        <v>1222185</v>
      </c>
      <c r="K77" s="15">
        <f>SUM(K44:K45)</f>
        <v>1393354</v>
      </c>
      <c r="L77" s="15">
        <f>SUM(L44:L45)</f>
        <v>1171001</v>
      </c>
      <c r="M77" s="15"/>
    </row>
    <row r="78" spans="1:13" x14ac:dyDescent="0.25">
      <c r="A78" s="12" t="s">
        <v>153</v>
      </c>
      <c r="B78" s="19">
        <f>SUM(B76:B77)</f>
        <v>1134034</v>
      </c>
      <c r="C78" s="19">
        <f t="shared" ref="C78:L78" si="27">SUM(C76:C77)</f>
        <v>-847460</v>
      </c>
      <c r="D78" s="19">
        <f t="shared" si="27"/>
        <v>819295</v>
      </c>
      <c r="E78" s="19">
        <f t="shared" si="27"/>
        <v>841262</v>
      </c>
      <c r="F78" s="19">
        <f t="shared" si="27"/>
        <v>1053761</v>
      </c>
      <c r="G78" s="19">
        <f t="shared" si="27"/>
        <v>821639</v>
      </c>
      <c r="H78" s="19">
        <f t="shared" si="27"/>
        <v>759364</v>
      </c>
      <c r="I78" s="19">
        <f t="shared" si="27"/>
        <v>908228</v>
      </c>
      <c r="J78" s="19">
        <f t="shared" si="27"/>
        <v>254055</v>
      </c>
      <c r="K78" s="19">
        <f t="shared" si="27"/>
        <v>780191</v>
      </c>
      <c r="L78" s="19">
        <f t="shared" si="27"/>
        <v>392560</v>
      </c>
      <c r="M78" s="15"/>
    </row>
    <row r="79" spans="1:13" x14ac:dyDescent="0.25">
      <c r="A79" s="2" t="s">
        <v>222</v>
      </c>
      <c r="B79" s="15"/>
      <c r="C79" s="15"/>
      <c r="D79" s="15"/>
      <c r="E79" s="15"/>
      <c r="F79" s="15"/>
      <c r="G79" s="15"/>
      <c r="H79" s="15"/>
      <c r="I79" s="15"/>
      <c r="J79" s="15"/>
      <c r="K79" s="15"/>
      <c r="L79" s="15"/>
      <c r="M79" s="15"/>
    </row>
    <row r="80" spans="1:13" x14ac:dyDescent="0.25">
      <c r="A80" s="2" t="s">
        <v>223</v>
      </c>
      <c r="B80" s="61">
        <f>B25</f>
        <v>-204463</v>
      </c>
      <c r="C80" s="61">
        <f>C25</f>
        <v>-308534</v>
      </c>
      <c r="D80" s="61">
        <f>D25</f>
        <v>-164536</v>
      </c>
      <c r="E80" s="61">
        <f>E25</f>
        <v>-331896</v>
      </c>
      <c r="F80" s="61">
        <f>F25</f>
        <v>-304636</v>
      </c>
      <c r="G80" s="61">
        <f>G25</f>
        <v>-296816</v>
      </c>
      <c r="H80" s="61">
        <f>H25</f>
        <v>-418144</v>
      </c>
      <c r="I80" s="61">
        <f>I25</f>
        <v>-315584</v>
      </c>
      <c r="J80" s="61">
        <f>J25</f>
        <v>-309817</v>
      </c>
      <c r="K80" s="61">
        <f>K25</f>
        <v>-310317</v>
      </c>
      <c r="L80" s="61">
        <f>L25</f>
        <v>-235707</v>
      </c>
    </row>
    <row r="81" spans="1:12" x14ac:dyDescent="0.25">
      <c r="A81" s="2" t="s">
        <v>224</v>
      </c>
      <c r="B81" s="61">
        <f>B33</f>
        <v>0</v>
      </c>
      <c r="C81" s="61">
        <f>C33</f>
        <v>-241563</v>
      </c>
      <c r="D81" s="61">
        <f>D33</f>
        <v>0</v>
      </c>
      <c r="E81" s="61">
        <f>E33</f>
        <v>0</v>
      </c>
      <c r="F81" s="61">
        <f>F33</f>
        <v>0</v>
      </c>
      <c r="G81" s="61">
        <f>G33</f>
        <v>0</v>
      </c>
      <c r="H81" s="61">
        <f>H33</f>
        <v>0</v>
      </c>
      <c r="I81" s="61">
        <f>I33</f>
        <v>0</v>
      </c>
      <c r="J81" s="61">
        <f>J33</f>
        <v>0</v>
      </c>
      <c r="K81" s="61">
        <f>K33</f>
        <v>0</v>
      </c>
      <c r="L81" s="61">
        <f>L33</f>
        <v>0</v>
      </c>
    </row>
    <row r="82" spans="1:12" x14ac:dyDescent="0.25">
      <c r="A82" s="2" t="s">
        <v>225</v>
      </c>
      <c r="B82" s="61">
        <f>SUM(B26:B32)+SUM(B34:B36)</f>
        <v>-2852</v>
      </c>
      <c r="C82" s="61">
        <f>SUM(C26:C32)+SUM(C34:C36)</f>
        <v>26352</v>
      </c>
      <c r="D82" s="61">
        <f>SUM(D26:D32)+SUM(D34:D36)</f>
        <v>36353</v>
      </c>
      <c r="E82" s="61">
        <f>SUM(E26:E32)+SUM(E34:E36)</f>
        <v>-57468</v>
      </c>
      <c r="F82" s="61">
        <f>SUM(F26:F32)+SUM(F34:F36)</f>
        <v>-3877</v>
      </c>
      <c r="G82" s="61">
        <f>SUM(G26:G32)+SUM(G34:G36)</f>
        <v>-5047</v>
      </c>
      <c r="H82" s="61">
        <f>SUM(H26:H32)+SUM(H34:H36)</f>
        <v>-1815</v>
      </c>
      <c r="I82" s="61">
        <f>SUM(I26:I32)+SUM(I34:I36)</f>
        <v>-63211</v>
      </c>
      <c r="J82" s="61">
        <f>SUM(J26:J32)+SUM(J34:J36)</f>
        <v>-50927</v>
      </c>
      <c r="K82" s="61">
        <f>SUM(K26:K32)+SUM(K34:K36)</f>
        <v>-26364</v>
      </c>
      <c r="L82" s="61">
        <f>SUM(L26:L32)+SUM(L34:L36)</f>
        <v>-19567</v>
      </c>
    </row>
    <row r="83" spans="1:12" x14ac:dyDescent="0.25">
      <c r="A83" s="12" t="s">
        <v>226</v>
      </c>
      <c r="B83" s="95">
        <f>SUM(B80:B82)</f>
        <v>-207315</v>
      </c>
      <c r="C83" s="95">
        <f t="shared" ref="C83:L83" si="28">SUM(C80:C82)</f>
        <v>-523745</v>
      </c>
      <c r="D83" s="95">
        <f t="shared" si="28"/>
        <v>-128183</v>
      </c>
      <c r="E83" s="95">
        <f t="shared" si="28"/>
        <v>-389364</v>
      </c>
      <c r="F83" s="95">
        <f t="shared" si="28"/>
        <v>-308513</v>
      </c>
      <c r="G83" s="95">
        <f t="shared" si="28"/>
        <v>-301863</v>
      </c>
      <c r="H83" s="95">
        <f t="shared" si="28"/>
        <v>-419959</v>
      </c>
      <c r="I83" s="95">
        <f t="shared" si="28"/>
        <v>-378795</v>
      </c>
      <c r="J83" s="95">
        <f t="shared" si="28"/>
        <v>-360744</v>
      </c>
      <c r="K83" s="95">
        <f t="shared" si="28"/>
        <v>-336681</v>
      </c>
      <c r="L83" s="95">
        <f t="shared" si="28"/>
        <v>-255274</v>
      </c>
    </row>
    <row r="84" spans="1:12" x14ac:dyDescent="0.25">
      <c r="A84" s="12" t="s">
        <v>19</v>
      </c>
      <c r="B84" s="61"/>
      <c r="C84" s="61"/>
      <c r="D84" s="61"/>
      <c r="E84" s="61"/>
      <c r="F84" s="61"/>
      <c r="G84" s="61"/>
      <c r="H84" s="61"/>
      <c r="I84" s="61"/>
      <c r="J84" s="61"/>
      <c r="K84" s="61"/>
      <c r="L84" s="61"/>
    </row>
    <row r="85" spans="1:12" x14ac:dyDescent="0.25">
      <c r="A85" s="2" t="s">
        <v>227</v>
      </c>
      <c r="B85" s="61">
        <f>SUM(B39:B42)</f>
        <v>-654905</v>
      </c>
      <c r="C85" s="61">
        <f>SUM(C39:C42)</f>
        <v>1911472</v>
      </c>
      <c r="D85" s="61">
        <f>SUM(D39:D42)</f>
        <v>-481341</v>
      </c>
      <c r="E85" s="61">
        <f>SUM(E39:E42)</f>
        <v>56616</v>
      </c>
      <c r="F85" s="61">
        <f>SUM(F39:F42)</f>
        <v>151839</v>
      </c>
      <c r="G85" s="61">
        <f>SUM(G39:G42)</f>
        <v>26304</v>
      </c>
      <c r="H85" s="61">
        <f>SUM(H39:H42)</f>
        <v>222516</v>
      </c>
      <c r="I85" s="61">
        <f>SUM(I39:I42)</f>
        <v>401539</v>
      </c>
      <c r="J85" s="61">
        <f>SUM(J39:J42)</f>
        <v>309013</v>
      </c>
      <c r="K85" s="61">
        <f>SUM(K39:K42)</f>
        <v>227</v>
      </c>
      <c r="L85" s="61">
        <f>SUM(L39:L42)</f>
        <v>-588</v>
      </c>
    </row>
    <row r="86" spans="1:12" x14ac:dyDescent="0.25">
      <c r="A86" s="2" t="s">
        <v>228</v>
      </c>
      <c r="B86" s="61">
        <f>B46</f>
        <v>-325168</v>
      </c>
      <c r="C86" s="61">
        <f>C46</f>
        <v>-576478</v>
      </c>
      <c r="D86" s="61">
        <f>D46</f>
        <v>-229938</v>
      </c>
      <c r="E86" s="61">
        <f>E46</f>
        <v>-567747</v>
      </c>
      <c r="F86" s="61">
        <f>F46</f>
        <v>-904726</v>
      </c>
      <c r="G86" s="61">
        <f>G46</f>
        <v>-579570</v>
      </c>
      <c r="H86" s="61">
        <f>H46</f>
        <v>-564337</v>
      </c>
      <c r="I86" s="61">
        <f>I46</f>
        <v>-983941</v>
      </c>
      <c r="J86" s="61">
        <f>J46</f>
        <v>-924328</v>
      </c>
      <c r="K86" s="61">
        <f>K46</f>
        <v>-313394</v>
      </c>
      <c r="L86" s="61">
        <f>L46</f>
        <v>-203405</v>
      </c>
    </row>
    <row r="87" spans="1:12" x14ac:dyDescent="0.25">
      <c r="A87" s="2" t="s">
        <v>229</v>
      </c>
      <c r="B87" s="61">
        <f>B47</f>
        <v>13282</v>
      </c>
      <c r="C87" s="61">
        <f>C47</f>
        <v>79805</v>
      </c>
      <c r="D87" s="61">
        <f>D47</f>
        <v>143148</v>
      </c>
      <c r="E87" s="61">
        <f>E47</f>
        <v>124397</v>
      </c>
      <c r="F87" s="61">
        <f>F47</f>
        <v>58130</v>
      </c>
      <c r="G87" s="61">
        <f>G47</f>
        <v>73520</v>
      </c>
      <c r="H87" s="61">
        <f>H47</f>
        <v>59869</v>
      </c>
      <c r="I87" s="61">
        <f>I47</f>
        <v>47038</v>
      </c>
      <c r="J87" s="61">
        <f>J47</f>
        <v>89810</v>
      </c>
      <c r="K87" s="61">
        <f>K47</f>
        <v>45146</v>
      </c>
      <c r="L87" s="61">
        <f>L47</f>
        <v>63396</v>
      </c>
    </row>
    <row r="88" spans="1:12" x14ac:dyDescent="0.25">
      <c r="A88" s="2" t="s">
        <v>230</v>
      </c>
      <c r="B88" s="61">
        <f>B43+B48</f>
        <v>-9883</v>
      </c>
      <c r="C88" s="61">
        <f>C43+C48</f>
        <v>-11923</v>
      </c>
      <c r="D88" s="61">
        <f>D43+D48</f>
        <v>-7424</v>
      </c>
      <c r="E88" s="61">
        <f>E43+E48</f>
        <v>-4151</v>
      </c>
      <c r="F88" s="61">
        <f>F43+F48</f>
        <v>-10012</v>
      </c>
      <c r="G88" s="61">
        <f>G43+G48</f>
        <v>-8997</v>
      </c>
      <c r="H88" s="61">
        <f>H43+H48</f>
        <v>-10817</v>
      </c>
      <c r="I88" s="61">
        <f>I43+I48</f>
        <v>15719</v>
      </c>
      <c r="J88" s="61">
        <f>J43+J48</f>
        <v>31899</v>
      </c>
      <c r="K88" s="61">
        <f>K43+K48</f>
        <v>3048</v>
      </c>
      <c r="L88" s="61">
        <f>L43+L48</f>
        <v>10017</v>
      </c>
    </row>
    <row r="89" spans="1:12" x14ac:dyDescent="0.25">
      <c r="A89" s="12" t="s">
        <v>231</v>
      </c>
      <c r="B89" s="95">
        <f>SUM(B85:B88)</f>
        <v>-976674</v>
      </c>
      <c r="C89" s="95">
        <f t="shared" ref="C89:L89" si="29">SUM(C85:C88)</f>
        <v>1402876</v>
      </c>
      <c r="D89" s="95">
        <f t="shared" si="29"/>
        <v>-575555</v>
      </c>
      <c r="E89" s="95">
        <f t="shared" si="29"/>
        <v>-390885</v>
      </c>
      <c r="F89" s="95">
        <f t="shared" si="29"/>
        <v>-704769</v>
      </c>
      <c r="G89" s="95">
        <f t="shared" si="29"/>
        <v>-488743</v>
      </c>
      <c r="H89" s="95">
        <f t="shared" si="29"/>
        <v>-292769</v>
      </c>
      <c r="I89" s="95">
        <f t="shared" si="29"/>
        <v>-519645</v>
      </c>
      <c r="J89" s="95">
        <f t="shared" si="29"/>
        <v>-493606</v>
      </c>
      <c r="K89" s="95">
        <f t="shared" si="29"/>
        <v>-264973</v>
      </c>
      <c r="L89" s="95">
        <f t="shared" si="29"/>
        <v>-130580</v>
      </c>
    </row>
    <row r="90" spans="1:12" ht="20" thickBot="1" x14ac:dyDescent="0.3">
      <c r="A90" s="12" t="s">
        <v>146</v>
      </c>
      <c r="B90" s="92">
        <f>B78+B83+B89</f>
        <v>-49955</v>
      </c>
      <c r="C90" s="92">
        <f t="shared" ref="C90:L90" si="30">C78+C83+C89</f>
        <v>31671</v>
      </c>
      <c r="D90" s="92">
        <f t="shared" si="30"/>
        <v>115557</v>
      </c>
      <c r="E90" s="92">
        <f t="shared" si="30"/>
        <v>61013</v>
      </c>
      <c r="F90" s="92">
        <f t="shared" si="30"/>
        <v>40479</v>
      </c>
      <c r="G90" s="92">
        <f t="shared" si="30"/>
        <v>31033</v>
      </c>
      <c r="H90" s="92">
        <f t="shared" si="30"/>
        <v>46636</v>
      </c>
      <c r="I90" s="92">
        <f t="shared" si="30"/>
        <v>9788</v>
      </c>
      <c r="J90" s="92">
        <f t="shared" si="30"/>
        <v>-600295</v>
      </c>
      <c r="K90" s="92">
        <f t="shared" si="30"/>
        <v>178537</v>
      </c>
      <c r="L90" s="92">
        <f t="shared" si="30"/>
        <v>6706</v>
      </c>
    </row>
    <row r="91" spans="1:12" ht="20" thickTop="1" x14ac:dyDescent="0.25"/>
    <row r="92" spans="1:12" x14ac:dyDescent="0.25">
      <c r="A92" s="2" t="s">
        <v>232</v>
      </c>
      <c r="B92" s="60">
        <f>B78+B80</f>
        <v>929571</v>
      </c>
      <c r="C92" s="60">
        <f t="shared" ref="C92:L92" si="31">C78+C80</f>
        <v>-1155994</v>
      </c>
      <c r="D92" s="60">
        <f t="shared" si="31"/>
        <v>654759</v>
      </c>
      <c r="E92" s="60">
        <f t="shared" si="31"/>
        <v>509366</v>
      </c>
      <c r="F92" s="60">
        <f t="shared" si="31"/>
        <v>749125</v>
      </c>
      <c r="G92" s="60">
        <f t="shared" si="31"/>
        <v>524823</v>
      </c>
      <c r="H92" s="60">
        <f t="shared" si="31"/>
        <v>341220</v>
      </c>
      <c r="I92" s="60">
        <f t="shared" si="31"/>
        <v>592644</v>
      </c>
      <c r="J92" s="60">
        <f t="shared" si="31"/>
        <v>-55762</v>
      </c>
      <c r="K92" s="60">
        <f t="shared" si="31"/>
        <v>469874</v>
      </c>
      <c r="L92" s="60">
        <f t="shared" si="31"/>
        <v>156853</v>
      </c>
    </row>
    <row r="94" spans="1:12" x14ac:dyDescent="0.25">
      <c r="B94" s="61"/>
      <c r="C94" s="61"/>
      <c r="D94" s="61"/>
      <c r="E94" s="61"/>
      <c r="F94" s="61"/>
      <c r="G94" s="61"/>
      <c r="H94" s="61"/>
      <c r="I94" s="61"/>
      <c r="J94" s="61"/>
      <c r="K94" s="61"/>
      <c r="L94" s="61"/>
    </row>
  </sheetData>
  <mergeCells count="3">
    <mergeCell ref="N3:N4"/>
    <mergeCell ref="C3:M3"/>
    <mergeCell ref="B53:H53"/>
  </mergeCells>
  <pageMargins left="0.7" right="0.7" top="0.75" bottom="0.75" header="0.3" footer="0.3"/>
  <pageSetup orientation="portrait" horizontalDpi="0" verticalDpi="0" r:id="rId1"/>
  <ignoredErrors>
    <ignoredError sqref="N49" formula="1"/>
    <ignoredError sqref="H57:M57 G57 B57:F57 B77 C77:L77 B85:L8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9365C-886E-E149-8CCB-4AA3A12A2187}">
  <sheetPr>
    <pageSetUpPr fitToPage="1"/>
  </sheetPr>
  <dimension ref="A1:O45"/>
  <sheetViews>
    <sheetView zoomScale="90" zoomScaleNormal="90" workbookViewId="0"/>
  </sheetViews>
  <sheetFormatPr baseColWidth="10" defaultColWidth="9.1640625" defaultRowHeight="19" x14ac:dyDescent="0.25"/>
  <cols>
    <col min="1" max="1" width="60.5" style="2" bestFit="1" customWidth="1"/>
    <col min="2" max="9" width="11.6640625" style="2" bestFit="1" customWidth="1"/>
    <col min="10" max="12" width="11.1640625" style="2" bestFit="1" customWidth="1"/>
    <col min="13" max="13" width="11.1640625" style="14" bestFit="1" customWidth="1"/>
    <col min="14" max="15" width="11.1640625" style="2" bestFit="1" customWidth="1"/>
    <col min="16" max="16384" width="9.1640625" style="2"/>
  </cols>
  <sheetData>
    <row r="1" spans="1:15" ht="21" x14ac:dyDescent="0.25">
      <c r="A1" s="86" t="s">
        <v>72</v>
      </c>
      <c r="B1" s="12"/>
      <c r="C1" s="12"/>
      <c r="D1" s="12"/>
      <c r="E1" s="12"/>
      <c r="F1" s="12"/>
      <c r="G1" s="12"/>
      <c r="H1" s="12"/>
      <c r="I1" s="12"/>
      <c r="J1" s="12"/>
      <c r="K1" s="12"/>
      <c r="L1" s="12"/>
    </row>
    <row r="2" spans="1:15" x14ac:dyDescent="0.25">
      <c r="A2" s="3" t="s">
        <v>174</v>
      </c>
      <c r="B2" s="3"/>
      <c r="C2" s="3"/>
      <c r="D2" s="3"/>
      <c r="E2" s="3"/>
      <c r="F2" s="3"/>
      <c r="G2" s="3"/>
      <c r="H2" s="3"/>
      <c r="I2" s="3"/>
      <c r="J2" s="3"/>
      <c r="K2" s="23"/>
      <c r="L2" s="23"/>
    </row>
    <row r="3" spans="1:15" x14ac:dyDescent="0.25">
      <c r="A3" s="24"/>
      <c r="B3" s="100" t="s">
        <v>163</v>
      </c>
      <c r="C3" s="101"/>
      <c r="D3" s="106" t="s">
        <v>53</v>
      </c>
      <c r="E3" s="107"/>
      <c r="F3" s="107"/>
      <c r="G3" s="107"/>
      <c r="H3" s="107"/>
      <c r="I3" s="107"/>
      <c r="J3" s="107"/>
      <c r="K3" s="107"/>
      <c r="L3" s="107"/>
      <c r="M3" s="107"/>
      <c r="N3" s="1"/>
      <c r="O3" s="1"/>
    </row>
    <row r="4" spans="1:15" s="12" customFormat="1" x14ac:dyDescent="0.25">
      <c r="A4" s="25" t="s">
        <v>192</v>
      </c>
      <c r="B4" s="8">
        <v>44712</v>
      </c>
      <c r="C4" s="26">
        <v>44347</v>
      </c>
      <c r="D4" s="6">
        <v>2022</v>
      </c>
      <c r="E4" s="6">
        <v>2021</v>
      </c>
      <c r="F4" s="6">
        <v>2020</v>
      </c>
      <c r="G4" s="6">
        <v>2019</v>
      </c>
      <c r="H4" s="6">
        <v>2018</v>
      </c>
      <c r="I4" s="6">
        <v>2017</v>
      </c>
      <c r="J4" s="6">
        <v>2016</v>
      </c>
      <c r="K4" s="6">
        <v>2015</v>
      </c>
      <c r="L4" s="6">
        <v>2014</v>
      </c>
      <c r="M4" s="6">
        <v>2013</v>
      </c>
      <c r="N4" s="6">
        <v>2012</v>
      </c>
      <c r="O4" s="6">
        <v>2011</v>
      </c>
    </row>
    <row r="5" spans="1:15" x14ac:dyDescent="0.25">
      <c r="A5" s="2" t="s">
        <v>73</v>
      </c>
      <c r="B5" s="43"/>
      <c r="C5" s="30"/>
      <c r="D5" s="43"/>
      <c r="E5" s="43"/>
      <c r="F5" s="43"/>
      <c r="G5" s="43"/>
      <c r="H5" s="43"/>
      <c r="I5" s="43"/>
      <c r="J5" s="15"/>
      <c r="K5" s="15"/>
      <c r="L5" s="15"/>
      <c r="N5" s="14"/>
      <c r="O5" s="14"/>
    </row>
    <row r="6" spans="1:15" x14ac:dyDescent="0.25">
      <c r="A6" s="2" t="s">
        <v>74</v>
      </c>
      <c r="B6" s="44">
        <v>346.7</v>
      </c>
      <c r="C6" s="45">
        <v>310.3</v>
      </c>
      <c r="D6" s="46">
        <v>1296.8</v>
      </c>
      <c r="E6" s="46">
        <v>1142</v>
      </c>
      <c r="F6" s="46">
        <v>1104.0999999999999</v>
      </c>
      <c r="G6" s="46">
        <v>972.9</v>
      </c>
      <c r="H6" s="46">
        <v>856.6</v>
      </c>
      <c r="I6" s="46">
        <v>762</v>
      </c>
      <c r="J6" s="46">
        <v>682.9</v>
      </c>
      <c r="K6" s="46">
        <v>604.9</v>
      </c>
      <c r="L6" s="46">
        <v>548</v>
      </c>
      <c r="M6" s="47">
        <v>495.3</v>
      </c>
      <c r="N6" s="47">
        <v>448.7</v>
      </c>
      <c r="O6" s="47">
        <v>419.1</v>
      </c>
    </row>
    <row r="7" spans="1:15" x14ac:dyDescent="0.25">
      <c r="A7" s="2" t="s">
        <v>75</v>
      </c>
      <c r="B7" s="44">
        <v>-48.8</v>
      </c>
      <c r="C7" s="45">
        <v>-65.8</v>
      </c>
      <c r="D7" s="46">
        <v>-228.8</v>
      </c>
      <c r="E7" s="46">
        <v>-314.10000000000002</v>
      </c>
      <c r="F7" s="46">
        <v>-358.1</v>
      </c>
      <c r="G7" s="46">
        <v>-289.3</v>
      </c>
      <c r="H7" s="46">
        <v>-215</v>
      </c>
      <c r="I7" s="46">
        <v>-171.4</v>
      </c>
      <c r="J7" s="46">
        <v>-127.7</v>
      </c>
      <c r="K7" s="46">
        <v>-96.6</v>
      </c>
      <c r="L7" s="46">
        <v>-90</v>
      </c>
      <c r="M7" s="47">
        <v>-95.1</v>
      </c>
      <c r="N7" s="47">
        <v>-106.1</v>
      </c>
      <c r="O7" s="47">
        <v>-133.80000000000001</v>
      </c>
    </row>
    <row r="8" spans="1:15" x14ac:dyDescent="0.25">
      <c r="A8" s="2" t="s">
        <v>76</v>
      </c>
      <c r="B8" s="48">
        <f>SUM(B6:B7)</f>
        <v>297.89999999999998</v>
      </c>
      <c r="C8" s="49">
        <f t="shared" ref="C8:O8" si="0">SUM(C6:C7)</f>
        <v>244.5</v>
      </c>
      <c r="D8" s="48">
        <f t="shared" ref="D8:I8" si="1">SUM(D6:D7)</f>
        <v>1068</v>
      </c>
      <c r="E8" s="48">
        <f t="shared" si="1"/>
        <v>827.9</v>
      </c>
      <c r="F8" s="48">
        <f t="shared" si="1"/>
        <v>745.99999999999989</v>
      </c>
      <c r="G8" s="48">
        <f t="shared" si="1"/>
        <v>683.59999999999991</v>
      </c>
      <c r="H8" s="48">
        <f t="shared" si="1"/>
        <v>641.6</v>
      </c>
      <c r="I8" s="48">
        <f t="shared" si="1"/>
        <v>590.6</v>
      </c>
      <c r="J8" s="48">
        <f t="shared" si="0"/>
        <v>555.19999999999993</v>
      </c>
      <c r="K8" s="48">
        <f t="shared" si="0"/>
        <v>508.29999999999995</v>
      </c>
      <c r="L8" s="48">
        <f t="shared" si="0"/>
        <v>458</v>
      </c>
      <c r="M8" s="48">
        <f t="shared" si="0"/>
        <v>400.20000000000005</v>
      </c>
      <c r="N8" s="48">
        <f t="shared" si="0"/>
        <v>342.6</v>
      </c>
      <c r="O8" s="48">
        <f t="shared" si="0"/>
        <v>285.3</v>
      </c>
    </row>
    <row r="9" spans="1:15" x14ac:dyDescent="0.25">
      <c r="A9" s="2" t="s">
        <v>77</v>
      </c>
      <c r="B9" s="44">
        <v>-57.8</v>
      </c>
      <c r="C9" s="45">
        <v>24.4</v>
      </c>
      <c r="D9" s="46">
        <v>-141.69999999999999</v>
      </c>
      <c r="E9" s="46">
        <v>-160.69999999999999</v>
      </c>
      <c r="F9" s="46">
        <v>-185.7</v>
      </c>
      <c r="G9" s="46">
        <v>-153.80000000000001</v>
      </c>
      <c r="H9" s="46">
        <v>-137.6</v>
      </c>
      <c r="I9" s="46">
        <v>-150.6</v>
      </c>
      <c r="J9" s="46">
        <v>-101.2</v>
      </c>
      <c r="K9" s="46">
        <v>-82.3</v>
      </c>
      <c r="L9" s="46">
        <v>-72.2</v>
      </c>
      <c r="M9" s="47">
        <v>-56.2</v>
      </c>
      <c r="N9" s="47">
        <v>-36.4</v>
      </c>
      <c r="O9" s="47">
        <v>-27.7</v>
      </c>
    </row>
    <row r="10" spans="1:15" x14ac:dyDescent="0.25">
      <c r="A10" s="2" t="s">
        <v>78</v>
      </c>
      <c r="B10" s="48">
        <f>SUM(B8:B9)</f>
        <v>240.09999999999997</v>
      </c>
      <c r="C10" s="49">
        <f t="shared" ref="C10:O10" si="2">SUM(C8:C9)</f>
        <v>268.89999999999998</v>
      </c>
      <c r="D10" s="48">
        <f t="shared" ref="D10:I10" si="3">SUM(D8:D9)</f>
        <v>926.3</v>
      </c>
      <c r="E10" s="48">
        <f t="shared" si="3"/>
        <v>667.2</v>
      </c>
      <c r="F10" s="48">
        <f t="shared" si="3"/>
        <v>560.29999999999995</v>
      </c>
      <c r="G10" s="48">
        <f t="shared" si="3"/>
        <v>529.79999999999995</v>
      </c>
      <c r="H10" s="48">
        <f t="shared" si="3"/>
        <v>504</v>
      </c>
      <c r="I10" s="48">
        <f t="shared" si="3"/>
        <v>440</v>
      </c>
      <c r="J10" s="48">
        <f t="shared" si="2"/>
        <v>453.99999999999994</v>
      </c>
      <c r="K10" s="48">
        <f t="shared" si="2"/>
        <v>425.99999999999994</v>
      </c>
      <c r="L10" s="48">
        <f t="shared" si="2"/>
        <v>385.8</v>
      </c>
      <c r="M10" s="48">
        <f t="shared" si="2"/>
        <v>344.00000000000006</v>
      </c>
      <c r="N10" s="48">
        <f t="shared" si="2"/>
        <v>306.20000000000005</v>
      </c>
      <c r="O10" s="48">
        <f t="shared" si="2"/>
        <v>257.60000000000002</v>
      </c>
    </row>
    <row r="11" spans="1:15" x14ac:dyDescent="0.25">
      <c r="A11" s="2" t="s">
        <v>189</v>
      </c>
      <c r="B11" s="44">
        <v>0</v>
      </c>
      <c r="C11" s="45">
        <v>0</v>
      </c>
      <c r="D11" s="46">
        <v>0</v>
      </c>
      <c r="E11" s="46">
        <v>-2.2000000000000002</v>
      </c>
      <c r="F11" s="46">
        <v>0</v>
      </c>
      <c r="G11" s="46">
        <v>-0.4</v>
      </c>
      <c r="H11" s="46">
        <v>0.4</v>
      </c>
      <c r="I11" s="46">
        <v>0</v>
      </c>
      <c r="J11" s="46">
        <v>-0.4</v>
      </c>
      <c r="K11" s="46">
        <v>0</v>
      </c>
      <c r="L11" s="46">
        <v>0.1</v>
      </c>
      <c r="M11" s="47">
        <v>0</v>
      </c>
      <c r="N11" s="47">
        <v>1.5</v>
      </c>
      <c r="O11" s="47">
        <v>7.5</v>
      </c>
    </row>
    <row r="12" spans="1:15" x14ac:dyDescent="0.25">
      <c r="A12" s="2" t="s">
        <v>79</v>
      </c>
      <c r="B12" s="44">
        <v>-35.6</v>
      </c>
      <c r="C12" s="45">
        <v>-27.2</v>
      </c>
      <c r="D12" s="46">
        <v>-124.8</v>
      </c>
      <c r="E12" s="46">
        <v>-102.2</v>
      </c>
      <c r="F12" s="46">
        <v>-104.3</v>
      </c>
      <c r="G12" s="46">
        <v>-90.7</v>
      </c>
      <c r="H12" s="46">
        <v>-83.2</v>
      </c>
      <c r="I12" s="46">
        <v>-71</v>
      </c>
      <c r="J12" s="46">
        <v>-61.6</v>
      </c>
      <c r="K12" s="46">
        <v>-58.7</v>
      </c>
      <c r="L12" s="46">
        <v>-49.7</v>
      </c>
      <c r="M12" s="47">
        <v>-44.7</v>
      </c>
      <c r="N12" s="47">
        <v>-45.5</v>
      </c>
      <c r="O12" s="47">
        <v>-45.1</v>
      </c>
    </row>
    <row r="13" spans="1:15" ht="20" thickBot="1" x14ac:dyDescent="0.3">
      <c r="A13" s="12" t="s">
        <v>80</v>
      </c>
      <c r="B13" s="50">
        <f>SUM(B10:B12)</f>
        <v>204.49999999999997</v>
      </c>
      <c r="C13" s="51">
        <f>SUM(C10:C12)</f>
        <v>241.7</v>
      </c>
      <c r="D13" s="50">
        <f t="shared" ref="D13:I13" si="4">SUM(D10:D12)</f>
        <v>801.5</v>
      </c>
      <c r="E13" s="50">
        <f t="shared" si="4"/>
        <v>562.79999999999995</v>
      </c>
      <c r="F13" s="50">
        <f t="shared" si="4"/>
        <v>455.99999999999994</v>
      </c>
      <c r="G13" s="50">
        <f t="shared" si="4"/>
        <v>438.7</v>
      </c>
      <c r="H13" s="50">
        <f t="shared" si="4"/>
        <v>421.2</v>
      </c>
      <c r="I13" s="50">
        <f t="shared" si="4"/>
        <v>369</v>
      </c>
      <c r="J13" s="50">
        <f t="shared" ref="J13:O13" si="5">SUM(J10:J12)</f>
        <v>391.99999999999994</v>
      </c>
      <c r="K13" s="50">
        <f t="shared" si="5"/>
        <v>367.29999999999995</v>
      </c>
      <c r="L13" s="50">
        <f t="shared" si="5"/>
        <v>336.20000000000005</v>
      </c>
      <c r="M13" s="50">
        <f t="shared" si="5"/>
        <v>299.30000000000007</v>
      </c>
      <c r="N13" s="50">
        <f t="shared" si="5"/>
        <v>262.20000000000005</v>
      </c>
      <c r="O13" s="50">
        <f t="shared" si="5"/>
        <v>220.00000000000003</v>
      </c>
    </row>
    <row r="14" spans="1:15" ht="20" thickTop="1" x14ac:dyDescent="0.25">
      <c r="B14" s="44"/>
      <c r="C14" s="45"/>
      <c r="D14" s="52"/>
      <c r="E14" s="52"/>
      <c r="F14" s="52"/>
      <c r="G14" s="52"/>
      <c r="H14" s="52"/>
      <c r="I14" s="52"/>
      <c r="J14" s="52"/>
      <c r="K14" s="46"/>
      <c r="L14" s="46"/>
      <c r="M14" s="46"/>
      <c r="N14" s="46"/>
      <c r="O14" s="46"/>
    </row>
    <row r="15" spans="1:15" x14ac:dyDescent="0.25">
      <c r="A15" s="2" t="s">
        <v>81</v>
      </c>
      <c r="B15" s="44">
        <v>15817</v>
      </c>
      <c r="C15" s="45">
        <v>14148.7</v>
      </c>
      <c r="D15" s="46">
        <v>14934</v>
      </c>
      <c r="E15" s="46">
        <v>13463.3</v>
      </c>
      <c r="F15" s="46">
        <v>13105.1</v>
      </c>
      <c r="G15" s="46">
        <v>12150.2</v>
      </c>
      <c r="H15" s="46">
        <v>11210.8</v>
      </c>
      <c r="I15" s="46">
        <v>10158.299999999999</v>
      </c>
      <c r="J15" s="46">
        <v>9092.9</v>
      </c>
      <c r="K15" s="46">
        <v>7859.9</v>
      </c>
      <c r="L15" s="46">
        <v>6629.5</v>
      </c>
      <c r="M15" s="47">
        <v>5385.5</v>
      </c>
      <c r="N15" s="47">
        <v>4662.3999999999996</v>
      </c>
      <c r="O15" s="47">
        <v>4229.8999999999996</v>
      </c>
    </row>
    <row r="16" spans="1:15" x14ac:dyDescent="0.25">
      <c r="A16" s="2" t="s">
        <v>82</v>
      </c>
      <c r="B16" s="44">
        <v>2446.8000000000002</v>
      </c>
      <c r="C16" s="45">
        <v>2483.4</v>
      </c>
      <c r="D16" s="46">
        <v>9371.2000000000007</v>
      </c>
      <c r="E16" s="46">
        <v>6395</v>
      </c>
      <c r="F16" s="46">
        <v>7089.7</v>
      </c>
      <c r="G16" s="46">
        <v>6330.1</v>
      </c>
      <c r="H16" s="46">
        <v>5962.2</v>
      </c>
      <c r="I16" s="46">
        <v>5643.3</v>
      </c>
      <c r="J16" s="46">
        <v>5171</v>
      </c>
      <c r="K16" s="46">
        <v>4727.8</v>
      </c>
      <c r="L16" s="46">
        <v>4183.8999999999996</v>
      </c>
      <c r="M16" s="47">
        <v>3445.3</v>
      </c>
      <c r="N16" s="47">
        <v>2842.9</v>
      </c>
      <c r="O16" s="47">
        <v>2147.4</v>
      </c>
    </row>
    <row r="17" spans="1:15" x14ac:dyDescent="0.25">
      <c r="A17" s="2" t="s">
        <v>93</v>
      </c>
      <c r="B17" s="65">
        <v>94663</v>
      </c>
      <c r="C17" s="66">
        <v>118363</v>
      </c>
      <c r="D17" s="15">
        <v>393681</v>
      </c>
      <c r="E17" s="15">
        <v>319346</v>
      </c>
      <c r="F17" s="15">
        <v>353654</v>
      </c>
      <c r="G17" s="15">
        <v>323864</v>
      </c>
      <c r="H17" s="15">
        <v>310739</v>
      </c>
      <c r="I17" s="15">
        <v>297043</v>
      </c>
      <c r="J17" s="15">
        <v>265426</v>
      </c>
      <c r="K17" s="15">
        <v>243264</v>
      </c>
      <c r="L17" s="15">
        <v>218706</v>
      </c>
      <c r="M17" s="14">
        <v>179525</v>
      </c>
      <c r="N17" s="14">
        <v>152468</v>
      </c>
      <c r="O17" s="14">
        <v>120183</v>
      </c>
    </row>
    <row r="18" spans="1:15" x14ac:dyDescent="0.25">
      <c r="B18" s="44"/>
      <c r="C18" s="45"/>
      <c r="D18" s="46"/>
      <c r="E18" s="46"/>
      <c r="F18" s="46"/>
      <c r="G18" s="46"/>
      <c r="H18" s="46"/>
      <c r="I18" s="46"/>
      <c r="J18" s="46"/>
      <c r="K18" s="46"/>
      <c r="L18" s="46"/>
      <c r="M18" s="47"/>
      <c r="N18" s="47"/>
      <c r="O18" s="47"/>
    </row>
    <row r="19" spans="1:15" x14ac:dyDescent="0.25">
      <c r="A19" s="2" t="s">
        <v>83</v>
      </c>
      <c r="B19" s="53">
        <v>0.39300000000000002</v>
      </c>
      <c r="C19" s="39">
        <v>0.437</v>
      </c>
      <c r="D19" s="38">
        <v>0.42599999999999999</v>
      </c>
      <c r="E19" s="38">
        <v>0.42499999999999999</v>
      </c>
      <c r="F19" s="38">
        <v>0.42499999999999999</v>
      </c>
      <c r="G19" s="38">
        <v>0.432</v>
      </c>
      <c r="H19" s="38">
        <v>0.43099999999999999</v>
      </c>
      <c r="I19" s="38">
        <v>0.442</v>
      </c>
      <c r="J19" s="38">
        <v>0.42799999999999999</v>
      </c>
      <c r="K19" s="38">
        <v>0.41199999999999998</v>
      </c>
      <c r="L19" s="38">
        <v>0.40899999999999997</v>
      </c>
      <c r="M19" s="54">
        <v>0.39400000000000002</v>
      </c>
      <c r="N19" s="54">
        <v>0.36699999999999999</v>
      </c>
      <c r="O19" s="54">
        <v>0.29699999999999999</v>
      </c>
    </row>
    <row r="20" spans="1:15" x14ac:dyDescent="0.25">
      <c r="A20" s="2" t="s">
        <v>84</v>
      </c>
      <c r="B20" s="53">
        <v>0.09</v>
      </c>
      <c r="C20" s="39">
        <v>0.09</v>
      </c>
      <c r="D20" s="38">
        <v>8.5000000000000006E-2</v>
      </c>
      <c r="E20" s="38">
        <v>8.4000000000000005E-2</v>
      </c>
      <c r="F20" s="38">
        <v>8.4000000000000005E-2</v>
      </c>
      <c r="G20" s="38">
        <v>8.5000000000000006E-2</v>
      </c>
      <c r="H20" s="38">
        <v>7.8E-2</v>
      </c>
      <c r="I20" s="38">
        <v>7.3999999999999996E-2</v>
      </c>
      <c r="J20" s="38">
        <v>7.2999999999999995E-2</v>
      </c>
      <c r="K20" s="38">
        <v>7.0999999999999994E-2</v>
      </c>
      <c r="L20" s="38">
        <v>7.0000000000000007E-2</v>
      </c>
      <c r="M20" s="54">
        <v>7.9000000000000001E-2</v>
      </c>
      <c r="N20" s="54">
        <v>8.7999999999999995E-2</v>
      </c>
      <c r="O20" s="54">
        <v>8.6999999999999994E-2</v>
      </c>
    </row>
    <row r="21" spans="1:15" x14ac:dyDescent="0.25">
      <c r="A21" s="2" t="s">
        <v>85</v>
      </c>
      <c r="B21" s="44">
        <v>458.2</v>
      </c>
      <c r="C21" s="45">
        <v>379.5</v>
      </c>
      <c r="D21" s="46">
        <v>433</v>
      </c>
      <c r="E21" s="46">
        <v>411.1</v>
      </c>
      <c r="F21" s="46">
        <v>157.80000000000001</v>
      </c>
      <c r="G21" s="46">
        <v>138.19999999999999</v>
      </c>
      <c r="H21" s="46">
        <v>128.6</v>
      </c>
      <c r="I21" s="46">
        <v>123.6</v>
      </c>
      <c r="J21" s="46">
        <v>94.9</v>
      </c>
      <c r="K21" s="46">
        <v>81.7</v>
      </c>
      <c r="L21" s="46">
        <v>69.900000000000006</v>
      </c>
      <c r="M21" s="47">
        <v>57.3</v>
      </c>
      <c r="N21" s="47">
        <v>43.3</v>
      </c>
      <c r="O21" s="47">
        <v>38.9</v>
      </c>
    </row>
    <row r="22" spans="1:15" x14ac:dyDescent="0.25">
      <c r="B22" s="44"/>
      <c r="C22" s="45"/>
      <c r="D22" s="46"/>
      <c r="E22" s="46"/>
      <c r="F22" s="46"/>
      <c r="G22" s="46"/>
      <c r="H22" s="46"/>
      <c r="I22" s="46"/>
      <c r="J22" s="46"/>
      <c r="K22" s="46"/>
      <c r="L22" s="46"/>
      <c r="M22" s="47"/>
      <c r="N22" s="47"/>
      <c r="O22" s="47"/>
    </row>
    <row r="23" spans="1:15" x14ac:dyDescent="0.25">
      <c r="A23" s="2" t="s">
        <v>190</v>
      </c>
      <c r="B23" s="53">
        <f>(B13/B15)/0.25</f>
        <v>5.1716507555162161E-2</v>
      </c>
      <c r="C23" s="39">
        <f>(C13/C15)/0.25</f>
        <v>6.8331366132577551E-2</v>
      </c>
      <c r="D23" s="38">
        <f t="shared" ref="D23:I23" si="6">(D13/D15)</f>
        <v>5.3669479041114236E-2</v>
      </c>
      <c r="E23" s="38">
        <f t="shared" si="6"/>
        <v>4.1802529840380888E-2</v>
      </c>
      <c r="F23" s="38">
        <f t="shared" si="6"/>
        <v>3.4795613921297812E-2</v>
      </c>
      <c r="G23" s="38">
        <f t="shared" si="6"/>
        <v>3.6106401540715378E-2</v>
      </c>
      <c r="H23" s="38">
        <f t="shared" si="6"/>
        <v>3.757091376172976E-2</v>
      </c>
      <c r="I23" s="38">
        <f t="shared" si="6"/>
        <v>3.6324975635687075E-2</v>
      </c>
      <c r="J23" s="38">
        <f>(J13/J15)</f>
        <v>4.3110558787625507E-2</v>
      </c>
      <c r="K23" s="38">
        <f t="shared" ref="K23:O23" si="7">(K13/K15)</f>
        <v>4.6730874438606088E-2</v>
      </c>
      <c r="L23" s="38">
        <f t="shared" si="7"/>
        <v>5.0712723433139761E-2</v>
      </c>
      <c r="M23" s="38">
        <f t="shared" si="7"/>
        <v>5.5575155510166202E-2</v>
      </c>
      <c r="N23" s="38">
        <f t="shared" si="7"/>
        <v>5.6237131091283477E-2</v>
      </c>
      <c r="O23" s="38">
        <f t="shared" si="7"/>
        <v>5.2010685831816367E-2</v>
      </c>
    </row>
    <row r="24" spans="1:15" x14ac:dyDescent="0.25">
      <c r="A24" s="2" t="s">
        <v>191</v>
      </c>
      <c r="B24" s="53">
        <f>(-B9/B15)/0.25</f>
        <v>1.4617184042485932E-2</v>
      </c>
      <c r="C24" s="39">
        <f>(-C9/C15)/0.25</f>
        <v>-6.8981602550057591E-3</v>
      </c>
      <c r="D24" s="38">
        <f t="shared" ref="D24:I24" si="8">(-D9/D15)</f>
        <v>9.4884156957278677E-3</v>
      </c>
      <c r="E24" s="38">
        <f t="shared" si="8"/>
        <v>1.1936152354920413E-2</v>
      </c>
      <c r="F24" s="38">
        <f t="shared" si="8"/>
        <v>1.4170055932423254E-2</v>
      </c>
      <c r="G24" s="38">
        <f t="shared" si="8"/>
        <v>1.2658227848101266E-2</v>
      </c>
      <c r="H24" s="38">
        <f t="shared" si="8"/>
        <v>1.2273878759767367E-2</v>
      </c>
      <c r="I24" s="38">
        <f t="shared" si="8"/>
        <v>1.4825315259443018E-2</v>
      </c>
      <c r="J24" s="38">
        <f t="shared" ref="J24:O24" si="9">(-J9/J15)</f>
        <v>1.1129562625784954E-2</v>
      </c>
      <c r="K24" s="38">
        <f t="shared" si="9"/>
        <v>1.0470871130675963E-2</v>
      </c>
      <c r="L24" s="38">
        <f t="shared" si="9"/>
        <v>1.0890715740251905E-2</v>
      </c>
      <c r="M24" s="38">
        <f t="shared" si="9"/>
        <v>1.0435428465323554E-2</v>
      </c>
      <c r="N24" s="38">
        <f t="shared" si="9"/>
        <v>7.8071379547014416E-3</v>
      </c>
      <c r="O24" s="38">
        <f t="shared" si="9"/>
        <v>6.5486181706423327E-3</v>
      </c>
    </row>
    <row r="25" spans="1:15" x14ac:dyDescent="0.25">
      <c r="B25" s="53"/>
      <c r="C25" s="39"/>
      <c r="D25" s="38"/>
      <c r="E25" s="38"/>
      <c r="F25" s="38"/>
      <c r="G25" s="38"/>
      <c r="H25" s="38"/>
      <c r="I25" s="38"/>
      <c r="J25" s="38"/>
      <c r="K25" s="38"/>
      <c r="L25" s="38"/>
      <c r="M25" s="47"/>
      <c r="N25" s="47"/>
      <c r="O25" s="47"/>
    </row>
    <row r="26" spans="1:15" ht="19" customHeight="1" x14ac:dyDescent="0.25">
      <c r="A26" s="2" t="s">
        <v>156</v>
      </c>
      <c r="B26" s="67">
        <v>2.8500000000000001E-2</v>
      </c>
      <c r="C26" s="68">
        <v>2.6200000000000001E-2</v>
      </c>
      <c r="D26" s="55">
        <v>2.7699999999999999E-2</v>
      </c>
      <c r="E26" s="55">
        <v>2.9700000000000001E-2</v>
      </c>
      <c r="F26" s="55">
        <v>1.1599999999999999E-2</v>
      </c>
      <c r="G26" s="55">
        <v>1.0999999999999999E-2</v>
      </c>
      <c r="H26" s="55">
        <v>1.11E-2</v>
      </c>
      <c r="I26" s="55">
        <v>1.1599999999999999E-2</v>
      </c>
      <c r="J26" s="55">
        <v>9.9000000000000008E-3</v>
      </c>
      <c r="K26" s="55">
        <v>9.7000000000000003E-3</v>
      </c>
      <c r="L26" s="55">
        <v>9.7000000000000003E-3</v>
      </c>
      <c r="M26" s="56">
        <v>9.7000000000000003E-3</v>
      </c>
      <c r="N26" s="56">
        <f>N21/N15</f>
        <v>9.2870624571036384E-3</v>
      </c>
      <c r="O26" s="56">
        <f>O21/O15</f>
        <v>9.1964349038984386E-3</v>
      </c>
    </row>
    <row r="27" spans="1:15" x14ac:dyDescent="0.25">
      <c r="A27" s="2" t="s">
        <v>89</v>
      </c>
      <c r="B27" s="69">
        <v>32.6</v>
      </c>
      <c r="C27" s="70">
        <v>7.2</v>
      </c>
      <c r="D27" s="46">
        <v>119.8</v>
      </c>
      <c r="E27" s="46">
        <v>109.4</v>
      </c>
      <c r="F27" s="46">
        <v>166.1</v>
      </c>
      <c r="G27" s="46">
        <v>144.19999999999999</v>
      </c>
      <c r="H27" s="46">
        <v>132.6</v>
      </c>
      <c r="I27" s="46">
        <v>121.9</v>
      </c>
      <c r="J27" s="46">
        <v>88</v>
      </c>
      <c r="K27" s="46">
        <v>70.5</v>
      </c>
      <c r="L27" s="46">
        <v>59.6</v>
      </c>
      <c r="M27" s="47">
        <v>42.2</v>
      </c>
      <c r="N27" s="47">
        <v>32</v>
      </c>
      <c r="O27" s="47">
        <v>47.5</v>
      </c>
    </row>
    <row r="28" spans="1:15" x14ac:dyDescent="0.25">
      <c r="A28" s="2" t="s">
        <v>90</v>
      </c>
      <c r="B28" s="67">
        <v>8.3000000000000001E-3</v>
      </c>
      <c r="C28" s="68">
        <v>2.0999999999999999E-3</v>
      </c>
      <c r="D28" s="55">
        <v>8.0000000000000002E-3</v>
      </c>
      <c r="E28" s="55">
        <v>8.0999999999999996E-3</v>
      </c>
      <c r="F28" s="55">
        <v>1.2699999999999999E-2</v>
      </c>
      <c r="G28" s="55">
        <v>1.1900000000000001E-2</v>
      </c>
      <c r="H28" s="55">
        <v>1.18E-2</v>
      </c>
      <c r="I28" s="55">
        <v>1.2E-2</v>
      </c>
      <c r="J28" s="55">
        <v>9.7000000000000003E-3</v>
      </c>
      <c r="K28" s="55">
        <v>8.9999999999999993E-3</v>
      </c>
      <c r="L28" s="55">
        <v>8.9999999999999993E-3</v>
      </c>
      <c r="M28" s="56">
        <v>7.7999999999999996E-3</v>
      </c>
      <c r="N28" s="56">
        <v>6.8999999999999999E-3</v>
      </c>
      <c r="O28" s="56">
        <v>1.12E-2</v>
      </c>
    </row>
    <row r="29" spans="1:15" x14ac:dyDescent="0.25">
      <c r="A29" s="2" t="s">
        <v>91</v>
      </c>
      <c r="B29" s="67">
        <v>4.0599999999999997E-2</v>
      </c>
      <c r="C29" s="68">
        <v>2.1000000000000001E-2</v>
      </c>
      <c r="D29" s="55">
        <v>4.02E-2</v>
      </c>
      <c r="E29" s="55">
        <v>2.8299999999999999E-2</v>
      </c>
      <c r="F29" s="55">
        <v>3.44E-2</v>
      </c>
      <c r="G29" s="55">
        <v>3.61E-2</v>
      </c>
      <c r="H29" s="55">
        <v>3.3799999999999997E-2</v>
      </c>
      <c r="I29" s="55">
        <v>3.1E-2</v>
      </c>
      <c r="J29" s="55">
        <v>2.7400000000000001E-2</v>
      </c>
      <c r="K29" s="55">
        <v>2.6200000000000001E-2</v>
      </c>
      <c r="L29" s="55">
        <v>2.58E-2</v>
      </c>
      <c r="M29" s="56">
        <v>2.5999999999999999E-2</v>
      </c>
      <c r="N29" s="56">
        <v>2.3400000000000001E-2</v>
      </c>
      <c r="O29" s="56">
        <v>2.8000000000000001E-2</v>
      </c>
    </row>
    <row r="30" spans="1:15" x14ac:dyDescent="0.25">
      <c r="A30" s="2" t="s">
        <v>92</v>
      </c>
      <c r="B30" s="73">
        <v>0.73699999999999999</v>
      </c>
      <c r="C30" s="74">
        <v>0.64700000000000002</v>
      </c>
      <c r="D30" s="38">
        <v>0.70799999999999996</v>
      </c>
      <c r="E30" s="38">
        <v>0.53500000000000003</v>
      </c>
      <c r="F30" s="38">
        <v>0.48099999999999998</v>
      </c>
      <c r="G30" s="38">
        <v>0.47699999999999998</v>
      </c>
      <c r="H30" s="38">
        <v>0.46100000000000002</v>
      </c>
      <c r="I30" s="38">
        <v>0.47399999999999998</v>
      </c>
      <c r="J30" s="38">
        <v>0.51200000000000001</v>
      </c>
      <c r="K30" s="38">
        <v>0.54200000000000004</v>
      </c>
      <c r="L30" s="38">
        <v>0.55200000000000005</v>
      </c>
      <c r="M30" s="57">
        <v>0.58399999999999996</v>
      </c>
      <c r="N30" s="57">
        <v>0.59699999999999998</v>
      </c>
      <c r="O30" s="57">
        <v>0.58399999999999996</v>
      </c>
    </row>
    <row r="31" spans="1:15" x14ac:dyDescent="0.25">
      <c r="B31" s="67"/>
      <c r="C31" s="68"/>
      <c r="D31" s="15"/>
      <c r="E31" s="15"/>
      <c r="F31" s="15"/>
      <c r="G31" s="15"/>
      <c r="H31" s="15"/>
      <c r="I31" s="15"/>
      <c r="J31" s="15"/>
      <c r="K31" s="15"/>
      <c r="L31" s="15"/>
      <c r="N31" s="14"/>
      <c r="O31" s="14"/>
    </row>
    <row r="32" spans="1:15" x14ac:dyDescent="0.25">
      <c r="A32" s="2" t="s">
        <v>86</v>
      </c>
      <c r="B32" s="71">
        <v>704</v>
      </c>
      <c r="C32" s="72">
        <v>695</v>
      </c>
      <c r="D32" s="15">
        <v>703</v>
      </c>
      <c r="E32" s="15">
        <v>706</v>
      </c>
      <c r="F32" s="15">
        <v>710</v>
      </c>
      <c r="G32" s="15">
        <v>706</v>
      </c>
      <c r="H32" s="15">
        <v>707</v>
      </c>
      <c r="I32" s="15">
        <v>706</v>
      </c>
      <c r="J32" s="15">
        <v>702</v>
      </c>
      <c r="K32" s="15">
        <v>701</v>
      </c>
      <c r="L32" s="15">
        <v>702</v>
      </c>
      <c r="M32" s="14">
        <v>696</v>
      </c>
      <c r="N32" s="112" t="s">
        <v>94</v>
      </c>
      <c r="O32" s="112"/>
    </row>
    <row r="33" spans="1:15" x14ac:dyDescent="0.25">
      <c r="A33" s="2" t="s">
        <v>87</v>
      </c>
      <c r="B33" s="73">
        <v>0.876</v>
      </c>
      <c r="C33" s="74">
        <v>0.90200000000000002</v>
      </c>
      <c r="D33" s="38">
        <v>0.88700000000000001</v>
      </c>
      <c r="E33" s="38">
        <v>0.92</v>
      </c>
      <c r="F33" s="38">
        <v>0.94199999999999995</v>
      </c>
      <c r="G33" s="38">
        <v>0.94799999999999995</v>
      </c>
      <c r="H33" s="38">
        <v>0.95</v>
      </c>
      <c r="I33" s="38">
        <v>0.95</v>
      </c>
      <c r="J33" s="38">
        <v>0.94599999999999995</v>
      </c>
      <c r="K33" s="38">
        <v>0.94199999999999995</v>
      </c>
      <c r="L33" s="38">
        <v>0.93700000000000006</v>
      </c>
      <c r="M33" s="54">
        <v>0.94799999999999995</v>
      </c>
      <c r="N33" s="112"/>
      <c r="O33" s="112"/>
    </row>
    <row r="34" spans="1:15" x14ac:dyDescent="0.25">
      <c r="A34" s="2" t="s">
        <v>88</v>
      </c>
      <c r="B34" s="46">
        <v>66.599999999999994</v>
      </c>
      <c r="C34" s="45">
        <v>66.3</v>
      </c>
      <c r="D34" s="46">
        <v>66.599999999999994</v>
      </c>
      <c r="E34" s="46">
        <v>66</v>
      </c>
      <c r="F34" s="46">
        <v>66.099999999999994</v>
      </c>
      <c r="G34" s="46">
        <v>66</v>
      </c>
      <c r="H34" s="46">
        <v>65.8</v>
      </c>
      <c r="I34" s="46">
        <v>65.8</v>
      </c>
      <c r="J34" s="46">
        <v>65.900000000000006</v>
      </c>
      <c r="K34" s="46">
        <v>65.400000000000006</v>
      </c>
      <c r="L34" s="46">
        <v>65.400000000000006</v>
      </c>
      <c r="M34" s="47">
        <v>65.900000000000006</v>
      </c>
      <c r="N34" s="47">
        <v>65.3</v>
      </c>
      <c r="O34" s="47">
        <v>64.5</v>
      </c>
    </row>
    <row r="35" spans="1:15" x14ac:dyDescent="0.25">
      <c r="B35" s="15"/>
      <c r="C35" s="15"/>
      <c r="D35" s="15"/>
      <c r="E35" s="15"/>
      <c r="F35" s="15"/>
      <c r="G35" s="15"/>
      <c r="H35" s="15"/>
      <c r="I35" s="15"/>
      <c r="J35" s="15"/>
      <c r="K35" s="15"/>
      <c r="L35" s="15"/>
      <c r="N35" s="14"/>
      <c r="O35" s="14"/>
    </row>
    <row r="36" spans="1:15" x14ac:dyDescent="0.25">
      <c r="B36" s="15"/>
      <c r="C36" s="15"/>
      <c r="D36" s="15"/>
      <c r="E36" s="15"/>
      <c r="F36" s="15"/>
      <c r="G36" s="15"/>
      <c r="H36" s="15"/>
      <c r="I36" s="15"/>
      <c r="J36" s="15"/>
      <c r="K36" s="15"/>
      <c r="L36" s="15"/>
      <c r="N36" s="14"/>
      <c r="O36" s="14"/>
    </row>
    <row r="37" spans="1:15" x14ac:dyDescent="0.25">
      <c r="B37" s="15"/>
      <c r="C37" s="15"/>
      <c r="D37" s="15"/>
      <c r="E37" s="52"/>
      <c r="F37" s="15"/>
      <c r="G37" s="15"/>
      <c r="H37" s="15"/>
      <c r="I37" s="15"/>
      <c r="J37" s="15"/>
      <c r="K37" s="15"/>
      <c r="L37" s="15"/>
      <c r="M37" s="15"/>
      <c r="N37" s="15"/>
      <c r="O37" s="15"/>
    </row>
    <row r="38" spans="1:15" x14ac:dyDescent="0.25">
      <c r="B38" s="15"/>
      <c r="C38" s="15"/>
      <c r="D38" s="15"/>
      <c r="E38" s="15"/>
      <c r="F38" s="15"/>
      <c r="G38" s="15"/>
      <c r="H38" s="15"/>
      <c r="I38" s="15"/>
      <c r="J38" s="15"/>
      <c r="K38" s="15"/>
      <c r="L38" s="15"/>
      <c r="N38" s="14"/>
      <c r="O38" s="14"/>
    </row>
    <row r="39" spans="1:15" x14ac:dyDescent="0.25">
      <c r="B39" s="15"/>
      <c r="C39" s="15"/>
      <c r="D39" s="15"/>
      <c r="E39" s="15"/>
      <c r="F39" s="15"/>
      <c r="G39" s="15"/>
      <c r="H39" s="15"/>
      <c r="I39" s="15"/>
      <c r="J39" s="15"/>
      <c r="K39" s="46"/>
      <c r="L39" s="15"/>
      <c r="N39" s="14"/>
      <c r="O39" s="14"/>
    </row>
    <row r="40" spans="1:15" x14ac:dyDescent="0.25">
      <c r="B40" s="15"/>
      <c r="C40" s="15"/>
      <c r="D40" s="15"/>
      <c r="E40" s="15"/>
      <c r="F40" s="15"/>
      <c r="G40" s="15"/>
      <c r="H40" s="15"/>
      <c r="I40" s="15"/>
      <c r="J40" s="15"/>
      <c r="K40" s="15"/>
      <c r="L40" s="15"/>
      <c r="N40" s="14"/>
      <c r="O40" s="14"/>
    </row>
    <row r="41" spans="1:15" x14ac:dyDescent="0.25">
      <c r="B41" s="15"/>
      <c r="C41" s="15"/>
      <c r="D41" s="15"/>
      <c r="E41" s="15"/>
      <c r="F41" s="15"/>
      <c r="G41" s="15"/>
      <c r="H41" s="15"/>
      <c r="I41" s="15"/>
      <c r="J41" s="15"/>
      <c r="K41" s="15"/>
      <c r="L41" s="15"/>
      <c r="N41" s="14"/>
      <c r="O41" s="14"/>
    </row>
    <row r="42" spans="1:15" x14ac:dyDescent="0.25">
      <c r="B42" s="15"/>
      <c r="C42" s="15"/>
      <c r="D42" s="15"/>
      <c r="E42" s="15"/>
      <c r="F42" s="15"/>
      <c r="G42" s="15"/>
      <c r="H42" s="15"/>
      <c r="I42" s="15"/>
      <c r="J42" s="15"/>
      <c r="K42" s="15"/>
      <c r="L42" s="15"/>
      <c r="N42" s="14"/>
      <c r="O42" s="14"/>
    </row>
    <row r="43" spans="1:15" x14ac:dyDescent="0.25">
      <c r="B43" s="15"/>
      <c r="C43" s="15"/>
      <c r="D43" s="15"/>
      <c r="E43" s="15"/>
      <c r="F43" s="15"/>
      <c r="G43" s="15"/>
      <c r="H43" s="15"/>
      <c r="I43" s="15"/>
      <c r="J43" s="15"/>
      <c r="K43" s="15"/>
      <c r="L43" s="15"/>
      <c r="N43" s="14"/>
      <c r="O43" s="14"/>
    </row>
    <row r="44" spans="1:15" x14ac:dyDescent="0.25">
      <c r="B44" s="15"/>
      <c r="C44" s="15"/>
      <c r="D44" s="15"/>
      <c r="E44" s="15"/>
      <c r="F44" s="15"/>
      <c r="G44" s="15"/>
      <c r="H44" s="15"/>
      <c r="I44" s="15"/>
      <c r="J44" s="15"/>
      <c r="K44" s="15"/>
      <c r="L44" s="15"/>
      <c r="N44" s="14"/>
      <c r="O44" s="14"/>
    </row>
    <row r="45" spans="1:15" x14ac:dyDescent="0.25">
      <c r="B45" s="15"/>
      <c r="C45" s="15"/>
      <c r="D45" s="15"/>
      <c r="E45" s="15"/>
      <c r="F45" s="15"/>
      <c r="G45" s="15"/>
      <c r="H45" s="15"/>
      <c r="I45" s="15"/>
      <c r="J45" s="15"/>
      <c r="K45" s="15"/>
      <c r="L45" s="15"/>
      <c r="N45" s="14"/>
      <c r="O45" s="14"/>
    </row>
  </sheetData>
  <mergeCells count="3">
    <mergeCell ref="N32:O33"/>
    <mergeCell ref="B3:C3"/>
    <mergeCell ref="D3:M3"/>
  </mergeCells>
  <pageMargins left="0.7" right="0.7" top="0.75" bottom="0.75" header="0.3" footer="0.3"/>
  <pageSetup scale="65" fitToHeight="5"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TERMS OF USE</vt:lpstr>
      <vt:lpstr>Balance Sheet</vt:lpstr>
      <vt:lpstr>Operating Summary &amp; Stats</vt:lpstr>
      <vt:lpstr>Quarterly Data</vt:lpstr>
      <vt:lpstr>Cash Flow Analysis</vt:lpstr>
      <vt:lpstr>CAF Income Analysis</vt:lpstr>
    </vt:vector>
  </TitlesOfParts>
  <Manager/>
  <Company>The Rational Walk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CarMax</dc:title>
  <dc:subject/>
  <dc:creator>The Rational Walk LLC</dc:creator>
  <cp:keywords/>
  <dc:description/>
  <cp:lastModifiedBy>Ravi Nagarajan</cp:lastModifiedBy>
  <cp:lastPrinted>2010-01-09T02:34:21Z</cp:lastPrinted>
  <dcterms:created xsi:type="dcterms:W3CDTF">2009-09-17T14:10:19Z</dcterms:created>
  <dcterms:modified xsi:type="dcterms:W3CDTF">2022-10-16T14:25:32Z</dcterms:modified>
  <cp:category/>
</cp:coreProperties>
</file>