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1"/>
  <workbookPr defaultThemeVersion="124226"/>
  <mc:AlternateContent xmlns:mc="http://schemas.openxmlformats.org/markup-compatibility/2006">
    <mc:Choice Requires="x15">
      <x15ac:absPath xmlns:x15ac="http://schemas.microsoft.com/office/spreadsheetml/2010/11/ac" url="/Users/ravi/Library/CloudStorage/OneDrive-Personal/Work Files/Company Research/Rational Reflections Write-Ups/Costco/To Publish/"/>
    </mc:Choice>
  </mc:AlternateContent>
  <xr:revisionPtr revIDLastSave="0" documentId="13_ncr:1_{4E731046-04D1-C849-9B59-95961EC99EB0}" xr6:coauthVersionLast="47" xr6:coauthVersionMax="47" xr10:uidLastSave="{00000000-0000-0000-0000-000000000000}"/>
  <bookViews>
    <workbookView xWindow="0" yWindow="500" windowWidth="28800" windowHeight="16260" tabRatio="783" xr2:uid="{00000000-000D-0000-FFFF-FFFF00000000}"/>
  </bookViews>
  <sheets>
    <sheet name="TERMS OF USE" sheetId="14" r:id="rId1"/>
    <sheet name="Balance Sheet" sheetId="1" r:id="rId2"/>
    <sheet name="Operating Summary &amp; Stats" sheetId="9" r:id="rId3"/>
    <sheet name="Cash Flow Analysis" sheetId="10" r:id="rId4"/>
    <sheet name="New Warehouse Ramp-Up" sheetId="11" r:id="rId5"/>
    <sheet name="Membership Dues" sheetId="12" r:id="rId6"/>
    <sheet name="Charts" sheetId="13"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26" i="9" l="1"/>
  <c r="B121" i="9"/>
  <c r="B120" i="9"/>
  <c r="B119" i="9"/>
  <c r="B118" i="9"/>
  <c r="B31" i="9"/>
  <c r="B30" i="9"/>
  <c r="B62" i="10"/>
  <c r="B61" i="10"/>
  <c r="K57" i="1"/>
  <c r="K58" i="1"/>
  <c r="B58" i="1"/>
  <c r="B49" i="1"/>
  <c r="B57" i="1"/>
  <c r="B168" i="9"/>
  <c r="B167" i="9"/>
  <c r="B60" i="9"/>
  <c r="B34" i="9"/>
  <c r="C60" i="1"/>
  <c r="D60" i="1"/>
  <c r="E60" i="1"/>
  <c r="F60" i="1"/>
  <c r="G60" i="1"/>
  <c r="H60" i="1"/>
  <c r="I60" i="1"/>
  <c r="J60" i="1"/>
  <c r="K60" i="1"/>
  <c r="L60" i="1"/>
  <c r="M60" i="1"/>
  <c r="N60" i="1"/>
  <c r="O60" i="1"/>
  <c r="P60" i="1"/>
  <c r="Q60" i="1"/>
  <c r="R60" i="1"/>
  <c r="S60" i="1"/>
  <c r="T60" i="1"/>
  <c r="U60" i="1"/>
  <c r="V60" i="1"/>
  <c r="B60" i="1"/>
  <c r="B61" i="1"/>
  <c r="C60" i="9" l="1"/>
  <c r="D60" i="9"/>
  <c r="E60" i="9"/>
  <c r="F60" i="9"/>
  <c r="G60" i="9"/>
  <c r="H60" i="9"/>
  <c r="I60" i="9"/>
  <c r="J60" i="9"/>
  <c r="K60" i="9"/>
  <c r="L60" i="9"/>
  <c r="M60" i="9"/>
  <c r="N60" i="9"/>
  <c r="O60" i="9"/>
  <c r="P60" i="9"/>
  <c r="Q60" i="9"/>
  <c r="R60" i="9"/>
  <c r="S60" i="9"/>
  <c r="T60" i="9"/>
  <c r="U60" i="9"/>
  <c r="C61" i="9"/>
  <c r="D61" i="9"/>
  <c r="E61" i="9"/>
  <c r="F61" i="9"/>
  <c r="G61" i="9"/>
  <c r="H61" i="9"/>
  <c r="I61" i="9"/>
  <c r="J61" i="9"/>
  <c r="K61" i="9"/>
  <c r="L61" i="9"/>
  <c r="M61" i="9"/>
  <c r="N61" i="9"/>
  <c r="O61" i="9"/>
  <c r="P61" i="9"/>
  <c r="Q61" i="9"/>
  <c r="R61" i="9"/>
  <c r="S61" i="9"/>
  <c r="T61" i="9"/>
  <c r="U61" i="9"/>
  <c r="C62" i="9"/>
  <c r="D62" i="9"/>
  <c r="E62" i="9"/>
  <c r="F62" i="9"/>
  <c r="G62" i="9"/>
  <c r="H62" i="9"/>
  <c r="I62" i="9"/>
  <c r="J62" i="9"/>
  <c r="K62" i="9"/>
  <c r="L62" i="9"/>
  <c r="M62" i="9"/>
  <c r="N62" i="9"/>
  <c r="O62" i="9"/>
  <c r="P62" i="9"/>
  <c r="Q62" i="9"/>
  <c r="R62" i="9"/>
  <c r="S62" i="9"/>
  <c r="T62" i="9"/>
  <c r="U62" i="9"/>
  <c r="B61" i="9"/>
  <c r="B62" i="9"/>
  <c r="M27" i="9"/>
  <c r="N27" i="9"/>
  <c r="O27" i="9"/>
  <c r="P27" i="9"/>
  <c r="Q27" i="9"/>
  <c r="R27" i="9"/>
  <c r="S27" i="9"/>
  <c r="T27" i="9"/>
  <c r="U27" i="9"/>
  <c r="C27" i="9"/>
  <c r="D27" i="9"/>
  <c r="E27" i="9"/>
  <c r="F27" i="9"/>
  <c r="G27" i="9"/>
  <c r="H27" i="9"/>
  <c r="I27" i="9"/>
  <c r="J27" i="9"/>
  <c r="K27" i="9"/>
  <c r="L27" i="9"/>
  <c r="B27" i="9"/>
  <c r="C90" i="10"/>
  <c r="C96" i="10" s="1"/>
  <c r="D90" i="10"/>
  <c r="D96" i="10" s="1"/>
  <c r="E90" i="10"/>
  <c r="E96" i="10" s="1"/>
  <c r="F90" i="10"/>
  <c r="F96" i="10" s="1"/>
  <c r="G90" i="10"/>
  <c r="G96" i="10" s="1"/>
  <c r="H90" i="10"/>
  <c r="H96" i="10" s="1"/>
  <c r="I90" i="10"/>
  <c r="I96" i="10" s="1"/>
  <c r="J90" i="10"/>
  <c r="J96" i="10" s="1"/>
  <c r="K90" i="10"/>
  <c r="K96" i="10" s="1"/>
  <c r="L90" i="10"/>
  <c r="L96" i="10" s="1"/>
  <c r="C91" i="10"/>
  <c r="C97" i="10" s="1"/>
  <c r="D91" i="10"/>
  <c r="D97" i="10" s="1"/>
  <c r="E91" i="10"/>
  <c r="F91" i="10"/>
  <c r="F97" i="10" s="1"/>
  <c r="G91" i="10"/>
  <c r="G97" i="10" s="1"/>
  <c r="H91" i="10"/>
  <c r="H97" i="10" s="1"/>
  <c r="I91" i="10"/>
  <c r="I97" i="10" s="1"/>
  <c r="J91" i="10"/>
  <c r="J97" i="10" s="1"/>
  <c r="K91" i="10"/>
  <c r="K97" i="10" s="1"/>
  <c r="L91" i="10"/>
  <c r="C92" i="10"/>
  <c r="C98" i="10" s="1"/>
  <c r="D92" i="10"/>
  <c r="D98" i="10" s="1"/>
  <c r="E92" i="10"/>
  <c r="E98" i="10" s="1"/>
  <c r="F92" i="10"/>
  <c r="F98" i="10" s="1"/>
  <c r="G92" i="10"/>
  <c r="G98" i="10" s="1"/>
  <c r="H92" i="10"/>
  <c r="H98" i="10" s="1"/>
  <c r="I92" i="10"/>
  <c r="I98" i="10" s="1"/>
  <c r="J92" i="10"/>
  <c r="J98" i="10" s="1"/>
  <c r="K92" i="10"/>
  <c r="K98" i="10" s="1"/>
  <c r="L92" i="10"/>
  <c r="L98" i="10" s="1"/>
  <c r="B92" i="10"/>
  <c r="B98" i="10" s="1"/>
  <c r="B91" i="10"/>
  <c r="B97" i="10" s="1"/>
  <c r="B90" i="10"/>
  <c r="B96" i="10" s="1"/>
  <c r="C84" i="10"/>
  <c r="D84" i="10"/>
  <c r="E84" i="10"/>
  <c r="F84" i="10"/>
  <c r="G84" i="10"/>
  <c r="H84" i="10"/>
  <c r="I84" i="10"/>
  <c r="J84" i="10"/>
  <c r="K84" i="10"/>
  <c r="L84" i="10"/>
  <c r="C85" i="10"/>
  <c r="D85" i="10"/>
  <c r="E85" i="10"/>
  <c r="F85" i="10"/>
  <c r="G85" i="10"/>
  <c r="H85" i="10"/>
  <c r="I85" i="10"/>
  <c r="J85" i="10"/>
  <c r="K85" i="10"/>
  <c r="L85" i="10"/>
  <c r="C86" i="10"/>
  <c r="D86" i="10"/>
  <c r="E86" i="10"/>
  <c r="F86" i="10"/>
  <c r="G86" i="10"/>
  <c r="H86" i="10"/>
  <c r="I86" i="10"/>
  <c r="J86" i="10"/>
  <c r="K86" i="10"/>
  <c r="L86" i="10"/>
  <c r="B86" i="10"/>
  <c r="B85" i="10"/>
  <c r="L81" i="10"/>
  <c r="K81" i="10"/>
  <c r="J81" i="10"/>
  <c r="I81" i="10"/>
  <c r="H81" i="10"/>
  <c r="G81" i="10"/>
  <c r="F81" i="10"/>
  <c r="E81" i="10"/>
  <c r="D81" i="10"/>
  <c r="C81" i="10"/>
  <c r="B81" i="10"/>
  <c r="L75" i="10"/>
  <c r="K75" i="10"/>
  <c r="J75" i="10"/>
  <c r="I75" i="10"/>
  <c r="H75" i="10"/>
  <c r="G75" i="10"/>
  <c r="F75" i="10"/>
  <c r="E75" i="10"/>
  <c r="D75" i="10"/>
  <c r="C75" i="10"/>
  <c r="B75" i="10"/>
  <c r="C69" i="10"/>
  <c r="D69" i="10"/>
  <c r="E69" i="10"/>
  <c r="F69" i="10"/>
  <c r="G69" i="10"/>
  <c r="H69" i="10"/>
  <c r="I69" i="10"/>
  <c r="J69" i="10"/>
  <c r="K69" i="10"/>
  <c r="L69" i="10"/>
  <c r="B69" i="10"/>
  <c r="J28" i="11"/>
  <c r="C32" i="11"/>
  <c r="C31" i="11"/>
  <c r="D31" i="11"/>
  <c r="D32" i="11"/>
  <c r="D30" i="11"/>
  <c r="E30" i="11"/>
  <c r="E31" i="11"/>
  <c r="E32" i="11"/>
  <c r="E29" i="11"/>
  <c r="F29" i="11"/>
  <c r="F30" i="11"/>
  <c r="F31" i="11"/>
  <c r="F32" i="11"/>
  <c r="F28" i="11"/>
  <c r="G28" i="11"/>
  <c r="G29" i="11"/>
  <c r="G30" i="11"/>
  <c r="G31" i="11"/>
  <c r="G32" i="11"/>
  <c r="G27" i="11"/>
  <c r="H27" i="11"/>
  <c r="H28" i="11"/>
  <c r="H29" i="11"/>
  <c r="H30" i="11"/>
  <c r="H31" i="11"/>
  <c r="H32" i="11"/>
  <c r="H26" i="11"/>
  <c r="I26" i="11"/>
  <c r="I27" i="11"/>
  <c r="I28" i="11"/>
  <c r="I29" i="11"/>
  <c r="I30" i="11"/>
  <c r="I31" i="11"/>
  <c r="I32" i="11"/>
  <c r="I25" i="11"/>
  <c r="J25" i="11"/>
  <c r="J26" i="11"/>
  <c r="J27" i="11"/>
  <c r="J29" i="11"/>
  <c r="J30" i="11"/>
  <c r="J31" i="11"/>
  <c r="J32" i="11"/>
  <c r="J24" i="11"/>
  <c r="K29" i="11"/>
  <c r="K24" i="11"/>
  <c r="K25" i="11"/>
  <c r="K26" i="11"/>
  <c r="K27" i="11"/>
  <c r="K28" i="11"/>
  <c r="K30" i="11"/>
  <c r="K31" i="11"/>
  <c r="K32" i="11"/>
  <c r="K23" i="11"/>
  <c r="L23" i="11"/>
  <c r="L24" i="11"/>
  <c r="L25" i="11"/>
  <c r="L26" i="11"/>
  <c r="L27" i="11"/>
  <c r="L28" i="11"/>
  <c r="L29" i="11"/>
  <c r="L30" i="11"/>
  <c r="L31" i="11"/>
  <c r="L32" i="11"/>
  <c r="L22" i="11"/>
  <c r="B63" i="10"/>
  <c r="B60" i="10"/>
  <c r="B59" i="10"/>
  <c r="L18" i="10"/>
  <c r="L25" i="10"/>
  <c r="L40" i="10"/>
  <c r="L42" i="10"/>
  <c r="L44" i="10" s="1"/>
  <c r="L47" i="10"/>
  <c r="L49" i="10" s="1"/>
  <c r="L51" i="10" s="1"/>
  <c r="L48" i="10"/>
  <c r="C48" i="10"/>
  <c r="D48" i="10"/>
  <c r="E48" i="10"/>
  <c r="F48" i="10"/>
  <c r="G48" i="10"/>
  <c r="H48" i="10"/>
  <c r="I48" i="10"/>
  <c r="J48" i="10"/>
  <c r="K48" i="10"/>
  <c r="B48" i="10"/>
  <c r="M41" i="10"/>
  <c r="M28" i="10"/>
  <c r="M29" i="10"/>
  <c r="M30" i="10"/>
  <c r="M31" i="10"/>
  <c r="M32" i="10"/>
  <c r="M33" i="10"/>
  <c r="M34" i="10"/>
  <c r="M35" i="10"/>
  <c r="M36" i="10"/>
  <c r="M37" i="10"/>
  <c r="M38" i="10"/>
  <c r="M39" i="10"/>
  <c r="M27" i="10"/>
  <c r="B56" i="10" s="1"/>
  <c r="M21" i="10"/>
  <c r="M22" i="10"/>
  <c r="M23" i="10"/>
  <c r="M24" i="10"/>
  <c r="M20" i="10"/>
  <c r="M17" i="10"/>
  <c r="M9" i="10"/>
  <c r="M10" i="10"/>
  <c r="M11" i="10"/>
  <c r="M12" i="10"/>
  <c r="M13" i="10"/>
  <c r="M14" i="10"/>
  <c r="M15" i="10"/>
  <c r="M16" i="10"/>
  <c r="M8" i="10"/>
  <c r="M6" i="10"/>
  <c r="C40" i="10"/>
  <c r="D40" i="10"/>
  <c r="E40" i="10"/>
  <c r="F40" i="10"/>
  <c r="G40" i="10"/>
  <c r="H40" i="10"/>
  <c r="I40" i="10"/>
  <c r="J40" i="10"/>
  <c r="K40" i="10"/>
  <c r="B40" i="10"/>
  <c r="C25" i="10"/>
  <c r="D25" i="10"/>
  <c r="E25" i="10"/>
  <c r="F25" i="10"/>
  <c r="G25" i="10"/>
  <c r="H25" i="10"/>
  <c r="I25" i="10"/>
  <c r="J25" i="10"/>
  <c r="K25" i="10"/>
  <c r="B25" i="10"/>
  <c r="C18" i="10"/>
  <c r="C47" i="10" s="1"/>
  <c r="D18" i="10"/>
  <c r="D47" i="10" s="1"/>
  <c r="D49" i="10" s="1"/>
  <c r="D51" i="10" s="1"/>
  <c r="E18" i="10"/>
  <c r="E47" i="10" s="1"/>
  <c r="E49" i="10" s="1"/>
  <c r="E51" i="10" s="1"/>
  <c r="F18" i="10"/>
  <c r="F47" i="10" s="1"/>
  <c r="F49" i="10" s="1"/>
  <c r="F51" i="10" s="1"/>
  <c r="G18" i="10"/>
  <c r="G47" i="10" s="1"/>
  <c r="G49" i="10" s="1"/>
  <c r="G51" i="10" s="1"/>
  <c r="H18" i="10"/>
  <c r="H47" i="10" s="1"/>
  <c r="I18" i="10"/>
  <c r="I47" i="10" s="1"/>
  <c r="I49" i="10" s="1"/>
  <c r="I51" i="10" s="1"/>
  <c r="J18" i="10"/>
  <c r="J47" i="10" s="1"/>
  <c r="K18" i="10"/>
  <c r="K47" i="10" s="1"/>
  <c r="B18" i="10"/>
  <c r="B47" i="10" s="1"/>
  <c r="C61" i="1"/>
  <c r="D61" i="1"/>
  <c r="E61" i="1"/>
  <c r="F61" i="1"/>
  <c r="G61" i="1"/>
  <c r="H61" i="1"/>
  <c r="I61" i="1"/>
  <c r="J61" i="1"/>
  <c r="K61" i="1"/>
  <c r="L61" i="1"/>
  <c r="M61" i="1"/>
  <c r="N61" i="1"/>
  <c r="O61" i="1"/>
  <c r="P61" i="1"/>
  <c r="Q61" i="1"/>
  <c r="R61" i="1"/>
  <c r="S61" i="1"/>
  <c r="T61" i="1"/>
  <c r="U61" i="1"/>
  <c r="R49" i="1"/>
  <c r="S49" i="1"/>
  <c r="T49" i="1"/>
  <c r="U49" i="1"/>
  <c r="V49" i="1"/>
  <c r="O49" i="1"/>
  <c r="O51" i="1" s="1"/>
  <c r="P49" i="1"/>
  <c r="Q49" i="1"/>
  <c r="C49" i="1"/>
  <c r="D49" i="1"/>
  <c r="E49" i="1"/>
  <c r="F49" i="1"/>
  <c r="G49" i="1"/>
  <c r="H49" i="1"/>
  <c r="I49" i="1"/>
  <c r="J49" i="1"/>
  <c r="K49" i="1"/>
  <c r="L49" i="1"/>
  <c r="M49" i="1"/>
  <c r="N49" i="1"/>
  <c r="M41" i="1"/>
  <c r="M47" i="1" s="1"/>
  <c r="N41" i="1"/>
  <c r="N43" i="1" s="1"/>
  <c r="N50" i="1" s="1"/>
  <c r="O41" i="1"/>
  <c r="O43" i="1" s="1"/>
  <c r="O50" i="1" s="1"/>
  <c r="P41" i="1"/>
  <c r="P47" i="1" s="1"/>
  <c r="Q41" i="1"/>
  <c r="Q47" i="1" s="1"/>
  <c r="R41" i="1"/>
  <c r="R47" i="1" s="1"/>
  <c r="S41" i="1"/>
  <c r="S47" i="1" s="1"/>
  <c r="T41" i="1"/>
  <c r="U41" i="1"/>
  <c r="U47" i="1" s="1"/>
  <c r="V41" i="1"/>
  <c r="V43" i="1" s="1"/>
  <c r="V50" i="1" s="1"/>
  <c r="M29" i="1"/>
  <c r="M34" i="1" s="1"/>
  <c r="N29" i="1"/>
  <c r="N34" i="1" s="1"/>
  <c r="O29" i="1"/>
  <c r="O34" i="1" s="1"/>
  <c r="P29" i="1"/>
  <c r="P34" i="1" s="1"/>
  <c r="Q29" i="1"/>
  <c r="Q34" i="1" s="1"/>
  <c r="R29" i="1"/>
  <c r="R34" i="1" s="1"/>
  <c r="S29" i="1"/>
  <c r="S34" i="1" s="1"/>
  <c r="T29" i="1"/>
  <c r="T34" i="1" s="1"/>
  <c r="U29" i="1"/>
  <c r="U34" i="1" s="1"/>
  <c r="V29" i="1"/>
  <c r="V34" i="1" s="1"/>
  <c r="M13" i="1"/>
  <c r="M18" i="1" s="1"/>
  <c r="N13" i="1"/>
  <c r="N18" i="1" s="1"/>
  <c r="O13" i="1"/>
  <c r="O18" i="1" s="1"/>
  <c r="P13" i="1"/>
  <c r="P18" i="1" s="1"/>
  <c r="Q13" i="1"/>
  <c r="Q18" i="1" s="1"/>
  <c r="R13" i="1"/>
  <c r="R18" i="1" s="1"/>
  <c r="S13" i="1"/>
  <c r="S18" i="1" s="1"/>
  <c r="T13" i="1"/>
  <c r="T18" i="1" s="1"/>
  <c r="U13" i="1"/>
  <c r="U18" i="1" s="1"/>
  <c r="V13" i="1"/>
  <c r="V18" i="1" s="1"/>
  <c r="Q172" i="9"/>
  <c r="Q173" i="9" s="1"/>
  <c r="Q175" i="9" s="1"/>
  <c r="P172" i="9"/>
  <c r="P173" i="9" s="1"/>
  <c r="P193" i="9" s="1"/>
  <c r="O172" i="9"/>
  <c r="O173" i="9" s="1"/>
  <c r="O175" i="9" s="1"/>
  <c r="N172" i="9"/>
  <c r="N173" i="9" s="1"/>
  <c r="N175" i="9" s="1"/>
  <c r="M172" i="9"/>
  <c r="M173" i="9" s="1"/>
  <c r="M175" i="9" s="1"/>
  <c r="L172" i="9"/>
  <c r="L173" i="9" s="1"/>
  <c r="L175" i="9" s="1"/>
  <c r="C173" i="9"/>
  <c r="C175" i="9" s="1"/>
  <c r="D173" i="9"/>
  <c r="D175" i="9" s="1"/>
  <c r="E173" i="9"/>
  <c r="E175" i="9" s="1"/>
  <c r="F173" i="9"/>
  <c r="F175" i="9" s="1"/>
  <c r="G173" i="9"/>
  <c r="G175" i="9" s="1"/>
  <c r="H173" i="9"/>
  <c r="H175" i="9" s="1"/>
  <c r="I173" i="9"/>
  <c r="I175" i="9" s="1"/>
  <c r="J173" i="9"/>
  <c r="J175" i="9" s="1"/>
  <c r="K173" i="9"/>
  <c r="K175" i="9" s="1"/>
  <c r="R173" i="9"/>
  <c r="R175" i="9" s="1"/>
  <c r="B173" i="9"/>
  <c r="B175" i="9" s="1"/>
  <c r="M161" i="9"/>
  <c r="N161" i="9"/>
  <c r="O161" i="9"/>
  <c r="P161" i="9"/>
  <c r="Q161" i="9"/>
  <c r="R161" i="9"/>
  <c r="S161" i="9"/>
  <c r="T161" i="9"/>
  <c r="M162" i="9"/>
  <c r="N162" i="9"/>
  <c r="O162" i="9"/>
  <c r="P162" i="9"/>
  <c r="Q162" i="9"/>
  <c r="R162" i="9"/>
  <c r="S162" i="9"/>
  <c r="T162" i="9"/>
  <c r="L162" i="9"/>
  <c r="L161" i="9"/>
  <c r="T159" i="9"/>
  <c r="J159" i="9"/>
  <c r="K159" i="9"/>
  <c r="L159" i="9"/>
  <c r="M159" i="9"/>
  <c r="N159" i="9"/>
  <c r="O159" i="9"/>
  <c r="P159" i="9"/>
  <c r="Q159" i="9"/>
  <c r="R159" i="9"/>
  <c r="S159" i="9"/>
  <c r="I159" i="9"/>
  <c r="J158" i="9"/>
  <c r="K158" i="9"/>
  <c r="L158" i="9"/>
  <c r="M158" i="9"/>
  <c r="N158" i="9"/>
  <c r="O158" i="9"/>
  <c r="P158" i="9"/>
  <c r="Q158" i="9"/>
  <c r="R158" i="9"/>
  <c r="S158" i="9"/>
  <c r="T158" i="9"/>
  <c r="I158" i="9"/>
  <c r="J157" i="9"/>
  <c r="K157" i="9"/>
  <c r="L157" i="9"/>
  <c r="M157" i="9"/>
  <c r="N157" i="9"/>
  <c r="O157" i="9"/>
  <c r="P157" i="9"/>
  <c r="Q157" i="9"/>
  <c r="R157" i="9"/>
  <c r="S157" i="9"/>
  <c r="T157" i="9"/>
  <c r="I157" i="9"/>
  <c r="J156" i="9"/>
  <c r="K156" i="9"/>
  <c r="L156" i="9"/>
  <c r="M156" i="9"/>
  <c r="N156" i="9"/>
  <c r="O156" i="9"/>
  <c r="P156" i="9"/>
  <c r="Q156" i="9"/>
  <c r="R156" i="9"/>
  <c r="S156" i="9"/>
  <c r="T156" i="9"/>
  <c r="I156" i="9"/>
  <c r="I155" i="9"/>
  <c r="J155" i="9"/>
  <c r="K155" i="9"/>
  <c r="L155" i="9"/>
  <c r="M155" i="9"/>
  <c r="N155" i="9"/>
  <c r="O155" i="9"/>
  <c r="P155" i="9"/>
  <c r="Q155" i="9"/>
  <c r="R155" i="9"/>
  <c r="S155" i="9"/>
  <c r="T155" i="9"/>
  <c r="T160" i="9"/>
  <c r="C160" i="9"/>
  <c r="D160" i="9"/>
  <c r="E160" i="9"/>
  <c r="F160" i="9"/>
  <c r="G160" i="9"/>
  <c r="H160" i="9"/>
  <c r="I160" i="9"/>
  <c r="J160" i="9"/>
  <c r="K160" i="9"/>
  <c r="L160" i="9"/>
  <c r="M160" i="9"/>
  <c r="N160" i="9"/>
  <c r="O160" i="9"/>
  <c r="P160" i="9"/>
  <c r="Q160" i="9"/>
  <c r="R160" i="9"/>
  <c r="S160" i="9"/>
  <c r="B160" i="9"/>
  <c r="G136" i="9"/>
  <c r="H136" i="9"/>
  <c r="I136" i="9"/>
  <c r="J136" i="9"/>
  <c r="K136" i="9"/>
  <c r="L136" i="9"/>
  <c r="M136" i="9"/>
  <c r="N136" i="9"/>
  <c r="O136" i="9"/>
  <c r="P136" i="9"/>
  <c r="Q136" i="9"/>
  <c r="R136" i="9"/>
  <c r="S136" i="9"/>
  <c r="T136" i="9"/>
  <c r="U136" i="9"/>
  <c r="C136" i="9"/>
  <c r="D136" i="9"/>
  <c r="E136" i="9"/>
  <c r="F136" i="9"/>
  <c r="B136" i="9"/>
  <c r="G135" i="9"/>
  <c r="H135" i="9"/>
  <c r="I135" i="9"/>
  <c r="J135" i="9"/>
  <c r="K135" i="9"/>
  <c r="L135" i="9"/>
  <c r="M135" i="9"/>
  <c r="N135" i="9"/>
  <c r="O135" i="9"/>
  <c r="P135" i="9"/>
  <c r="Q135" i="9"/>
  <c r="R135" i="9"/>
  <c r="S135" i="9"/>
  <c r="T135" i="9"/>
  <c r="U135" i="9"/>
  <c r="F135" i="9"/>
  <c r="C135" i="9"/>
  <c r="D135" i="9"/>
  <c r="E135" i="9"/>
  <c r="B135" i="9"/>
  <c r="F134" i="9"/>
  <c r="G134" i="9"/>
  <c r="H134" i="9"/>
  <c r="I134" i="9"/>
  <c r="J134" i="9"/>
  <c r="K134" i="9"/>
  <c r="L134" i="9"/>
  <c r="M134" i="9"/>
  <c r="N134" i="9"/>
  <c r="O134" i="9"/>
  <c r="P134" i="9"/>
  <c r="Q134" i="9"/>
  <c r="R134" i="9"/>
  <c r="S134" i="9"/>
  <c r="T134" i="9"/>
  <c r="U134" i="9"/>
  <c r="C134" i="9"/>
  <c r="D134" i="9"/>
  <c r="E134" i="9"/>
  <c r="D128" i="9"/>
  <c r="E128" i="9"/>
  <c r="F128" i="9"/>
  <c r="G128" i="9"/>
  <c r="H128" i="9"/>
  <c r="I128" i="9"/>
  <c r="J128" i="9"/>
  <c r="K128" i="9"/>
  <c r="L128" i="9"/>
  <c r="M128" i="9"/>
  <c r="N128" i="9"/>
  <c r="O128" i="9"/>
  <c r="P128" i="9"/>
  <c r="Q128" i="9"/>
  <c r="R128" i="9"/>
  <c r="C128" i="9"/>
  <c r="B128" i="9"/>
  <c r="C127" i="9"/>
  <c r="D127" i="9"/>
  <c r="E127" i="9"/>
  <c r="F127" i="9"/>
  <c r="G127" i="9"/>
  <c r="H127" i="9"/>
  <c r="I127" i="9"/>
  <c r="J127" i="9"/>
  <c r="K127" i="9"/>
  <c r="L127" i="9"/>
  <c r="M127" i="9"/>
  <c r="N127" i="9"/>
  <c r="O127" i="9"/>
  <c r="P127" i="9"/>
  <c r="Q127" i="9"/>
  <c r="R127" i="9"/>
  <c r="B127" i="9"/>
  <c r="E126" i="9"/>
  <c r="F126" i="9"/>
  <c r="G126" i="9"/>
  <c r="H126" i="9"/>
  <c r="I126" i="9"/>
  <c r="J126" i="9"/>
  <c r="K126" i="9"/>
  <c r="L126" i="9"/>
  <c r="M126" i="9"/>
  <c r="N126" i="9"/>
  <c r="O126" i="9"/>
  <c r="P126" i="9"/>
  <c r="Q126" i="9"/>
  <c r="R126" i="9"/>
  <c r="C126" i="9"/>
  <c r="D126" i="9"/>
  <c r="U120" i="9"/>
  <c r="E120" i="9"/>
  <c r="F120" i="9"/>
  <c r="G120" i="9"/>
  <c r="H120" i="9"/>
  <c r="I120" i="9"/>
  <c r="J120" i="9"/>
  <c r="K120" i="9"/>
  <c r="L120" i="9"/>
  <c r="M120" i="9"/>
  <c r="N120" i="9"/>
  <c r="O120" i="9"/>
  <c r="P120" i="9"/>
  <c r="Q120" i="9"/>
  <c r="R120" i="9"/>
  <c r="S120" i="9"/>
  <c r="T120" i="9"/>
  <c r="D120" i="9"/>
  <c r="C120" i="9"/>
  <c r="H119" i="9"/>
  <c r="I119" i="9"/>
  <c r="J119" i="9"/>
  <c r="K119" i="9"/>
  <c r="L119" i="9"/>
  <c r="M119" i="9"/>
  <c r="N119" i="9"/>
  <c r="O119" i="9"/>
  <c r="P119" i="9"/>
  <c r="Q119" i="9"/>
  <c r="R119" i="9"/>
  <c r="S119" i="9"/>
  <c r="T119" i="9"/>
  <c r="U119" i="9"/>
  <c r="C119" i="9"/>
  <c r="D119" i="9"/>
  <c r="E119" i="9"/>
  <c r="F119" i="9"/>
  <c r="G119" i="9"/>
  <c r="F118" i="9"/>
  <c r="G118" i="9"/>
  <c r="H118" i="9"/>
  <c r="I118" i="9"/>
  <c r="J118" i="9"/>
  <c r="K118" i="9"/>
  <c r="L118" i="9"/>
  <c r="M118" i="9"/>
  <c r="N118" i="9"/>
  <c r="O118" i="9"/>
  <c r="P118" i="9"/>
  <c r="Q118" i="9"/>
  <c r="R118" i="9"/>
  <c r="S118" i="9"/>
  <c r="T118" i="9"/>
  <c r="U118" i="9"/>
  <c r="D118" i="9"/>
  <c r="E118" i="9"/>
  <c r="C118" i="9"/>
  <c r="B114" i="9"/>
  <c r="B113" i="9"/>
  <c r="B112" i="9"/>
  <c r="Q51" i="1" l="1"/>
  <c r="V51" i="1"/>
  <c r="N51" i="1"/>
  <c r="I193" i="9"/>
  <c r="Q193" i="9"/>
  <c r="H193" i="9"/>
  <c r="O193" i="9"/>
  <c r="G193" i="9"/>
  <c r="N193" i="9"/>
  <c r="F193" i="9"/>
  <c r="M193" i="9"/>
  <c r="E193" i="9"/>
  <c r="L193" i="9"/>
  <c r="D193" i="9"/>
  <c r="B193" i="9"/>
  <c r="K193" i="9"/>
  <c r="C193" i="9"/>
  <c r="R193" i="9"/>
  <c r="J193" i="9"/>
  <c r="B187" i="9"/>
  <c r="G177" i="9"/>
  <c r="J177" i="9"/>
  <c r="H177" i="9"/>
  <c r="R187" i="9"/>
  <c r="K177" i="9"/>
  <c r="J187" i="9"/>
  <c r="I187" i="9"/>
  <c r="P175" i="9"/>
  <c r="P187" i="9"/>
  <c r="Q187" i="9"/>
  <c r="H187" i="9"/>
  <c r="E177" i="9"/>
  <c r="O187" i="9"/>
  <c r="G187" i="9"/>
  <c r="F177" i="9"/>
  <c r="N187" i="9"/>
  <c r="F187" i="9"/>
  <c r="M187" i="9"/>
  <c r="E187" i="9"/>
  <c r="L187" i="9"/>
  <c r="D187" i="9"/>
  <c r="I177" i="9"/>
  <c r="K187" i="9"/>
  <c r="C187" i="9"/>
  <c r="K49" i="10"/>
  <c r="K51" i="10" s="1"/>
  <c r="J49" i="10"/>
  <c r="J51" i="10" s="1"/>
  <c r="C49" i="10"/>
  <c r="C51" i="10" s="1"/>
  <c r="H49" i="10"/>
  <c r="H51" i="10" s="1"/>
  <c r="M18" i="10"/>
  <c r="M42" i="10" s="1"/>
  <c r="M44" i="10" s="1"/>
  <c r="M25" i="10"/>
  <c r="M48" i="10"/>
  <c r="M40" i="10"/>
  <c r="M47" i="10"/>
  <c r="B49" i="10"/>
  <c r="B51" i="10" s="1"/>
  <c r="K42" i="10"/>
  <c r="K44" i="10" s="1"/>
  <c r="F42" i="10"/>
  <c r="F44" i="10" s="1"/>
  <c r="H42" i="10"/>
  <c r="H44" i="10" s="1"/>
  <c r="G42" i="10"/>
  <c r="G44" i="10" s="1"/>
  <c r="J42" i="10"/>
  <c r="J44" i="10" s="1"/>
  <c r="I42" i="10"/>
  <c r="I44" i="10" s="1"/>
  <c r="D42" i="10"/>
  <c r="D44" i="10" s="1"/>
  <c r="E42" i="10"/>
  <c r="E44" i="10" s="1"/>
  <c r="C42" i="10"/>
  <c r="C44" i="10" s="1"/>
  <c r="B42" i="10"/>
  <c r="B44" i="10" s="1"/>
  <c r="R55" i="1"/>
  <c r="T47" i="1"/>
  <c r="Q55" i="1"/>
  <c r="P55" i="1"/>
  <c r="T43" i="1"/>
  <c r="T50" i="1" s="1"/>
  <c r="T51" i="1" s="1"/>
  <c r="O55" i="1"/>
  <c r="V55" i="1"/>
  <c r="N55" i="1"/>
  <c r="U55" i="1"/>
  <c r="M55" i="1"/>
  <c r="T55" i="1"/>
  <c r="S55" i="1"/>
  <c r="V53" i="1"/>
  <c r="V44" i="1"/>
  <c r="V45" i="1" s="1"/>
  <c r="V47" i="1"/>
  <c r="U43" i="1"/>
  <c r="O47" i="1"/>
  <c r="N47" i="1"/>
  <c r="O44" i="1"/>
  <c r="O45" i="1" s="1"/>
  <c r="N44" i="1"/>
  <c r="N45" i="1" s="1"/>
  <c r="S43" i="1"/>
  <c r="S50" i="1" s="1"/>
  <c r="S51" i="1" s="1"/>
  <c r="Q43" i="1"/>
  <c r="Q50" i="1" s="1"/>
  <c r="R43" i="1"/>
  <c r="P43" i="1"/>
  <c r="P50" i="1" s="1"/>
  <c r="P51" i="1" s="1"/>
  <c r="M43" i="1"/>
  <c r="M50" i="1" s="1"/>
  <c r="M51" i="1" s="1"/>
  <c r="R177" i="9"/>
  <c r="Q177" i="9"/>
  <c r="P177" i="9"/>
  <c r="O177" i="9"/>
  <c r="N177" i="9"/>
  <c r="M177" i="9"/>
  <c r="L177" i="9"/>
  <c r="C54" i="9"/>
  <c r="D54" i="9"/>
  <c r="E54" i="9"/>
  <c r="F54" i="9"/>
  <c r="G54" i="9"/>
  <c r="H54" i="9"/>
  <c r="I54" i="9"/>
  <c r="J54" i="9"/>
  <c r="K54" i="9"/>
  <c r="L54" i="9"/>
  <c r="M54" i="9"/>
  <c r="N54" i="9"/>
  <c r="O54" i="9"/>
  <c r="P54" i="9"/>
  <c r="Q54" i="9"/>
  <c r="R54" i="9"/>
  <c r="S54" i="9"/>
  <c r="T54" i="9"/>
  <c r="U54" i="9"/>
  <c r="V54" i="9"/>
  <c r="C55" i="9"/>
  <c r="D55" i="9"/>
  <c r="E55" i="9"/>
  <c r="F55" i="9"/>
  <c r="G55" i="9"/>
  <c r="H55" i="9"/>
  <c r="I55" i="9"/>
  <c r="J55" i="9"/>
  <c r="K55" i="9"/>
  <c r="L55" i="9"/>
  <c r="M55" i="9"/>
  <c r="N55" i="9"/>
  <c r="O55" i="9"/>
  <c r="P55" i="9"/>
  <c r="Q55" i="9"/>
  <c r="R55" i="9"/>
  <c r="S55" i="9"/>
  <c r="T55" i="9"/>
  <c r="U55" i="9"/>
  <c r="V55" i="9"/>
  <c r="C56" i="9"/>
  <c r="D56" i="9"/>
  <c r="E56" i="9"/>
  <c r="F56" i="9"/>
  <c r="G56" i="9"/>
  <c r="H56" i="9"/>
  <c r="I56" i="9"/>
  <c r="J56" i="9"/>
  <c r="K56" i="9"/>
  <c r="L56" i="9"/>
  <c r="M56" i="9"/>
  <c r="N56" i="9"/>
  <c r="O56" i="9"/>
  <c r="P56" i="9"/>
  <c r="Q56" i="9"/>
  <c r="R56" i="9"/>
  <c r="S56" i="9"/>
  <c r="T56" i="9"/>
  <c r="U56" i="9"/>
  <c r="V56" i="9"/>
  <c r="B56" i="9"/>
  <c r="B55" i="9"/>
  <c r="B48" i="9"/>
  <c r="B84" i="10" s="1"/>
  <c r="C51" i="9"/>
  <c r="C87" i="10" s="1"/>
  <c r="D51" i="9"/>
  <c r="D87" i="10" s="1"/>
  <c r="E51" i="9"/>
  <c r="E87" i="10" s="1"/>
  <c r="F51" i="9"/>
  <c r="F87" i="10" s="1"/>
  <c r="G51" i="9"/>
  <c r="G87" i="10" s="1"/>
  <c r="H51" i="9"/>
  <c r="H87" i="10" s="1"/>
  <c r="I51" i="9"/>
  <c r="I87" i="10" s="1"/>
  <c r="J51" i="9"/>
  <c r="J87" i="10" s="1"/>
  <c r="K51" i="9"/>
  <c r="K87" i="10" s="1"/>
  <c r="L51" i="9"/>
  <c r="L87" i="10" s="1"/>
  <c r="M51" i="9"/>
  <c r="N51" i="9"/>
  <c r="O51" i="9"/>
  <c r="P51" i="9"/>
  <c r="Q51" i="9"/>
  <c r="R51" i="9"/>
  <c r="S51" i="9"/>
  <c r="T51" i="9"/>
  <c r="U51" i="9"/>
  <c r="V51" i="9"/>
  <c r="C45" i="9"/>
  <c r="D45" i="9"/>
  <c r="E45" i="9"/>
  <c r="F45" i="9"/>
  <c r="G45" i="9"/>
  <c r="H45" i="9"/>
  <c r="I45" i="9"/>
  <c r="J45" i="9"/>
  <c r="K45" i="9"/>
  <c r="L45" i="9"/>
  <c r="M45" i="9"/>
  <c r="N45" i="9"/>
  <c r="O45" i="9"/>
  <c r="P45" i="9"/>
  <c r="Q45" i="9"/>
  <c r="R45" i="9"/>
  <c r="S45" i="9"/>
  <c r="T45" i="9"/>
  <c r="U45" i="9"/>
  <c r="V45" i="9"/>
  <c r="B45" i="9"/>
  <c r="B63" i="9" s="1"/>
  <c r="F84" i="9"/>
  <c r="G84" i="9"/>
  <c r="H84" i="9"/>
  <c r="I84" i="9"/>
  <c r="J84" i="9"/>
  <c r="K84" i="9"/>
  <c r="L84" i="9"/>
  <c r="M84" i="9"/>
  <c r="N84" i="9"/>
  <c r="O84" i="9"/>
  <c r="P84" i="9"/>
  <c r="Q84" i="9"/>
  <c r="R84" i="9"/>
  <c r="S84" i="9"/>
  <c r="T84" i="9"/>
  <c r="U84" i="9"/>
  <c r="V84" i="9"/>
  <c r="E83" i="9"/>
  <c r="E82" i="9"/>
  <c r="E81" i="9"/>
  <c r="E78" i="9"/>
  <c r="E79" i="9"/>
  <c r="D83" i="9"/>
  <c r="D82" i="9"/>
  <c r="D81" i="9"/>
  <c r="D78" i="9"/>
  <c r="D79" i="9"/>
  <c r="C83" i="9"/>
  <c r="C81" i="9"/>
  <c r="C78" i="9"/>
  <c r="C79" i="9"/>
  <c r="B83" i="9"/>
  <c r="B81" i="9"/>
  <c r="B78" i="9"/>
  <c r="B79" i="9"/>
  <c r="C112" i="9"/>
  <c r="D112" i="9"/>
  <c r="E112" i="9"/>
  <c r="F112" i="9"/>
  <c r="G112" i="9"/>
  <c r="H112" i="9"/>
  <c r="I112" i="9"/>
  <c r="J112" i="9"/>
  <c r="K112" i="9"/>
  <c r="L112" i="9"/>
  <c r="M112" i="9"/>
  <c r="N112" i="9"/>
  <c r="O112" i="9"/>
  <c r="P112" i="9"/>
  <c r="Q112" i="9"/>
  <c r="R112" i="9"/>
  <c r="S112" i="9"/>
  <c r="C113" i="9"/>
  <c r="D113" i="9"/>
  <c r="E113" i="9"/>
  <c r="F113" i="9"/>
  <c r="G113" i="9"/>
  <c r="H113" i="9"/>
  <c r="I113" i="9"/>
  <c r="J113" i="9"/>
  <c r="K113" i="9"/>
  <c r="L113" i="9"/>
  <c r="M113" i="9"/>
  <c r="N113" i="9"/>
  <c r="O113" i="9"/>
  <c r="P113" i="9"/>
  <c r="Q113" i="9"/>
  <c r="R113" i="9"/>
  <c r="S113" i="9"/>
  <c r="C114" i="9"/>
  <c r="D114" i="9"/>
  <c r="E114" i="9"/>
  <c r="F114" i="9"/>
  <c r="G114" i="9"/>
  <c r="H114" i="9"/>
  <c r="I114" i="9"/>
  <c r="J114" i="9"/>
  <c r="K114" i="9"/>
  <c r="L114" i="9"/>
  <c r="M114" i="9"/>
  <c r="N114" i="9"/>
  <c r="O114" i="9"/>
  <c r="P114" i="9"/>
  <c r="Q114" i="9"/>
  <c r="R114" i="9"/>
  <c r="S114" i="9"/>
  <c r="C167" i="9"/>
  <c r="C168" i="9" s="1"/>
  <c r="D167" i="9"/>
  <c r="D168" i="9" s="1"/>
  <c r="E167" i="9"/>
  <c r="E168" i="9" s="1"/>
  <c r="C107" i="9"/>
  <c r="D107" i="9"/>
  <c r="E107" i="9"/>
  <c r="F107" i="9"/>
  <c r="G107" i="9"/>
  <c r="H107" i="9"/>
  <c r="I107" i="9"/>
  <c r="J107" i="9"/>
  <c r="K107" i="9"/>
  <c r="L107" i="9"/>
  <c r="M107" i="9"/>
  <c r="N107" i="9"/>
  <c r="O107" i="9"/>
  <c r="P107" i="9"/>
  <c r="Q107" i="9"/>
  <c r="R107" i="9"/>
  <c r="S107" i="9"/>
  <c r="B107" i="9"/>
  <c r="C99" i="9"/>
  <c r="D99" i="9"/>
  <c r="E99" i="9"/>
  <c r="F99" i="9"/>
  <c r="G99" i="9"/>
  <c r="H99" i="9"/>
  <c r="I99" i="9"/>
  <c r="J99" i="9"/>
  <c r="K99" i="9"/>
  <c r="L99" i="9"/>
  <c r="M99" i="9"/>
  <c r="N99" i="9"/>
  <c r="O99" i="9"/>
  <c r="P99" i="9"/>
  <c r="Q99" i="9"/>
  <c r="R99" i="9"/>
  <c r="S99" i="9"/>
  <c r="T99" i="9"/>
  <c r="U99" i="9"/>
  <c r="V99" i="9"/>
  <c r="B99" i="9"/>
  <c r="P34" i="9"/>
  <c r="P30" i="9"/>
  <c r="P8" i="9"/>
  <c r="V34" i="9"/>
  <c r="V30" i="9"/>
  <c r="V8" i="9"/>
  <c r="V14" i="9" s="1"/>
  <c r="U34" i="9"/>
  <c r="U30" i="9"/>
  <c r="U8" i="9"/>
  <c r="U14" i="9" s="1"/>
  <c r="T34" i="9"/>
  <c r="T30" i="9"/>
  <c r="T8" i="9"/>
  <c r="T14" i="9" s="1"/>
  <c r="S34" i="9"/>
  <c r="S30" i="9"/>
  <c r="S8" i="9"/>
  <c r="S14" i="9" s="1"/>
  <c r="R34" i="9"/>
  <c r="R30" i="9"/>
  <c r="R8" i="9"/>
  <c r="R14" i="9" s="1"/>
  <c r="Q34" i="9"/>
  <c r="Q30" i="9"/>
  <c r="Q8" i="9"/>
  <c r="Q14" i="9" s="1"/>
  <c r="U44" i="1" l="1"/>
  <c r="U45" i="1" s="1"/>
  <c r="U50" i="1"/>
  <c r="U51" i="1" s="1"/>
  <c r="R44" i="1"/>
  <c r="R50" i="1"/>
  <c r="R51" i="1" s="1"/>
  <c r="P63" i="9"/>
  <c r="H63" i="9"/>
  <c r="O63" i="9"/>
  <c r="G63" i="9"/>
  <c r="N63" i="9"/>
  <c r="F63" i="9"/>
  <c r="M63" i="9"/>
  <c r="U63" i="9"/>
  <c r="E63" i="9"/>
  <c r="T63" i="9"/>
  <c r="L63" i="9"/>
  <c r="D63" i="9"/>
  <c r="S63" i="9"/>
  <c r="K63" i="9"/>
  <c r="C63" i="9"/>
  <c r="R63" i="9"/>
  <c r="J63" i="9"/>
  <c r="Q63" i="9"/>
  <c r="I63" i="9"/>
  <c r="H141" i="9"/>
  <c r="P141" i="9"/>
  <c r="G93" i="10"/>
  <c r="G99" i="10" s="1"/>
  <c r="S137" i="9"/>
  <c r="N140" i="9"/>
  <c r="K93" i="10"/>
  <c r="K99" i="10" s="1"/>
  <c r="K140" i="9"/>
  <c r="F140" i="9"/>
  <c r="F93" i="10"/>
  <c r="F99" i="10" s="1"/>
  <c r="L93" i="10"/>
  <c r="L99" i="10" s="1"/>
  <c r="J93" i="10"/>
  <c r="J99" i="10" s="1"/>
  <c r="H93" i="10"/>
  <c r="H99" i="10" s="1"/>
  <c r="E93" i="10"/>
  <c r="E99" i="10" s="1"/>
  <c r="D93" i="10"/>
  <c r="D99" i="10" s="1"/>
  <c r="C93" i="10"/>
  <c r="C99" i="10" s="1"/>
  <c r="K121" i="9"/>
  <c r="I93" i="10"/>
  <c r="I99" i="10" s="1"/>
  <c r="B93" i="10"/>
  <c r="B99" i="10" s="1"/>
  <c r="M49" i="10"/>
  <c r="T53" i="1"/>
  <c r="M53" i="1"/>
  <c r="T44" i="1"/>
  <c r="T45" i="1" s="1"/>
  <c r="O53" i="1"/>
  <c r="N53" i="1"/>
  <c r="S44" i="1"/>
  <c r="S45" i="1" s="1"/>
  <c r="P44" i="1"/>
  <c r="P45" i="1" s="1"/>
  <c r="S53" i="1"/>
  <c r="R45" i="1"/>
  <c r="Q53" i="1"/>
  <c r="Q44" i="1"/>
  <c r="Q45" i="1" s="1"/>
  <c r="M44" i="1"/>
  <c r="M45" i="1" s="1"/>
  <c r="P140" i="9"/>
  <c r="R141" i="9"/>
  <c r="J141" i="9"/>
  <c r="H140" i="9"/>
  <c r="Q140" i="9"/>
  <c r="I140" i="9"/>
  <c r="K141" i="9"/>
  <c r="B140" i="9"/>
  <c r="C141" i="9"/>
  <c r="M140" i="9"/>
  <c r="U140" i="9"/>
  <c r="G141" i="9"/>
  <c r="T140" i="9"/>
  <c r="L140" i="9"/>
  <c r="D140" i="9"/>
  <c r="N141" i="9"/>
  <c r="F141" i="9"/>
  <c r="Q137" i="9"/>
  <c r="I137" i="9"/>
  <c r="E140" i="9"/>
  <c r="S140" i="9"/>
  <c r="C140" i="9"/>
  <c r="M141" i="9"/>
  <c r="E141" i="9"/>
  <c r="O141" i="9"/>
  <c r="R140" i="9"/>
  <c r="J140" i="9"/>
  <c r="B141" i="9"/>
  <c r="L141" i="9"/>
  <c r="D141" i="9"/>
  <c r="O140" i="9"/>
  <c r="G140" i="9"/>
  <c r="Q141" i="9"/>
  <c r="I141" i="9"/>
  <c r="K137" i="9"/>
  <c r="C137" i="9"/>
  <c r="R137" i="9"/>
  <c r="J137" i="9"/>
  <c r="B51" i="9"/>
  <c r="B134" i="9"/>
  <c r="H137" i="9"/>
  <c r="P137" i="9"/>
  <c r="O137" i="9"/>
  <c r="G137" i="9"/>
  <c r="N137" i="9"/>
  <c r="F137" i="9"/>
  <c r="E137" i="9"/>
  <c r="U137" i="9"/>
  <c r="M137" i="9"/>
  <c r="T137" i="9"/>
  <c r="L137" i="9"/>
  <c r="D137" i="9"/>
  <c r="B129" i="9"/>
  <c r="P129" i="9"/>
  <c r="H129" i="9"/>
  <c r="O129" i="9"/>
  <c r="G129" i="9"/>
  <c r="N129" i="9"/>
  <c r="F129" i="9"/>
  <c r="M129" i="9"/>
  <c r="Q129" i="9"/>
  <c r="E129" i="9"/>
  <c r="K101" i="9"/>
  <c r="C101" i="9"/>
  <c r="T121" i="9"/>
  <c r="L121" i="9"/>
  <c r="L129" i="9"/>
  <c r="D121" i="9"/>
  <c r="D129" i="9"/>
  <c r="Q108" i="9"/>
  <c r="K129" i="9"/>
  <c r="C129" i="9"/>
  <c r="I129" i="9"/>
  <c r="R129" i="9"/>
  <c r="J129" i="9"/>
  <c r="S121" i="9"/>
  <c r="C121" i="9"/>
  <c r="J121" i="9"/>
  <c r="R121" i="9"/>
  <c r="R108" i="9"/>
  <c r="J108" i="9"/>
  <c r="Q121" i="9"/>
  <c r="I121" i="9"/>
  <c r="P121" i="9"/>
  <c r="H121" i="9"/>
  <c r="O121" i="9"/>
  <c r="G121" i="9"/>
  <c r="N121" i="9"/>
  <c r="F121" i="9"/>
  <c r="U121" i="9"/>
  <c r="M121" i="9"/>
  <c r="E121" i="9"/>
  <c r="N108" i="9"/>
  <c r="F108" i="9"/>
  <c r="F109" i="9"/>
  <c r="E108" i="9"/>
  <c r="E109" i="9"/>
  <c r="M108" i="9"/>
  <c r="K108" i="9"/>
  <c r="C108" i="9"/>
  <c r="C109" i="9"/>
  <c r="B108" i="9"/>
  <c r="B109" i="9"/>
  <c r="L108" i="9"/>
  <c r="D108" i="9"/>
  <c r="D109" i="9"/>
  <c r="I109" i="9"/>
  <c r="I108" i="9"/>
  <c r="P108" i="9"/>
  <c r="H108" i="9"/>
  <c r="H109" i="9"/>
  <c r="J101" i="9"/>
  <c r="E101" i="9"/>
  <c r="O108" i="9"/>
  <c r="G108" i="9"/>
  <c r="G109" i="9"/>
  <c r="F101" i="9"/>
  <c r="I101" i="9"/>
  <c r="H101" i="9"/>
  <c r="B100" i="9"/>
  <c r="B101" i="9"/>
  <c r="G101" i="9"/>
  <c r="L101" i="9"/>
  <c r="D101" i="9"/>
  <c r="R100" i="9"/>
  <c r="U100" i="9"/>
  <c r="S100" i="9"/>
  <c r="K100" i="9"/>
  <c r="C100" i="9"/>
  <c r="J100" i="9"/>
  <c r="Q100" i="9"/>
  <c r="O100" i="9"/>
  <c r="H100" i="9"/>
  <c r="G100" i="9"/>
  <c r="N100" i="9"/>
  <c r="M100" i="9"/>
  <c r="I100" i="9"/>
  <c r="P100" i="9"/>
  <c r="F100" i="9"/>
  <c r="E100" i="9"/>
  <c r="T100" i="9"/>
  <c r="L100" i="9"/>
  <c r="D100" i="9"/>
  <c r="V57" i="9"/>
  <c r="R57" i="9"/>
  <c r="J57" i="9"/>
  <c r="F57" i="9"/>
  <c r="P57" i="9"/>
  <c r="H57" i="9"/>
  <c r="N57" i="9"/>
  <c r="U57" i="9"/>
  <c r="M57" i="9"/>
  <c r="E57" i="9"/>
  <c r="T57" i="9"/>
  <c r="L57" i="9"/>
  <c r="D57" i="9"/>
  <c r="O57" i="9"/>
  <c r="G57" i="9"/>
  <c r="S57" i="9"/>
  <c r="K57" i="9"/>
  <c r="C57" i="9"/>
  <c r="Q57" i="9"/>
  <c r="I57" i="9"/>
  <c r="B54" i="9"/>
  <c r="E84" i="9"/>
  <c r="C84" i="9"/>
  <c r="B84" i="9"/>
  <c r="D84" i="9"/>
  <c r="M115" i="9"/>
  <c r="E115" i="9"/>
  <c r="L115" i="9"/>
  <c r="B115" i="9"/>
  <c r="D115" i="9"/>
  <c r="R115" i="9"/>
  <c r="J115" i="9"/>
  <c r="N115" i="9"/>
  <c r="F115" i="9"/>
  <c r="P115" i="9"/>
  <c r="Q115" i="9"/>
  <c r="I115" i="9"/>
  <c r="S115" i="9"/>
  <c r="K115" i="9"/>
  <c r="C115" i="9"/>
  <c r="H115" i="9"/>
  <c r="O115" i="9"/>
  <c r="G115" i="9"/>
  <c r="P14" i="9"/>
  <c r="P31" i="9" s="1"/>
  <c r="V18" i="9"/>
  <c r="V31" i="9"/>
  <c r="U18" i="9"/>
  <c r="U31" i="9"/>
  <c r="T18" i="9"/>
  <c r="T31" i="9"/>
  <c r="S18" i="9"/>
  <c r="S31" i="9"/>
  <c r="R31" i="9"/>
  <c r="R18" i="9"/>
  <c r="Q18" i="9"/>
  <c r="Q31" i="9"/>
  <c r="O34" i="9"/>
  <c r="O30" i="9"/>
  <c r="O8" i="9"/>
  <c r="O14" i="9" s="1"/>
  <c r="N34" i="9"/>
  <c r="N30" i="9"/>
  <c r="N8" i="9"/>
  <c r="M34" i="9"/>
  <c r="M30" i="9"/>
  <c r="M8" i="9"/>
  <c r="C34" i="9"/>
  <c r="D34" i="9"/>
  <c r="E34" i="9"/>
  <c r="F34" i="9"/>
  <c r="G34" i="9"/>
  <c r="H34" i="9"/>
  <c r="I34" i="9"/>
  <c r="J34" i="9"/>
  <c r="K34" i="9"/>
  <c r="L34" i="9"/>
  <c r="C30" i="9"/>
  <c r="D30" i="9"/>
  <c r="E30" i="9"/>
  <c r="F30" i="9"/>
  <c r="G30" i="9"/>
  <c r="H30" i="9"/>
  <c r="I30" i="9"/>
  <c r="J30" i="9"/>
  <c r="K30" i="9"/>
  <c r="L30" i="9"/>
  <c r="C8" i="9"/>
  <c r="C14" i="9" s="1"/>
  <c r="D8" i="9"/>
  <c r="D14" i="9" s="1"/>
  <c r="E8" i="9"/>
  <c r="E14" i="9" s="1"/>
  <c r="F8" i="9"/>
  <c r="G8" i="9"/>
  <c r="H8" i="9"/>
  <c r="H14" i="9" s="1"/>
  <c r="I8" i="9"/>
  <c r="I14" i="9" s="1"/>
  <c r="J8" i="9"/>
  <c r="J14" i="9" s="1"/>
  <c r="K8" i="9"/>
  <c r="K14" i="9" s="1"/>
  <c r="L8" i="9"/>
  <c r="L14" i="9" s="1"/>
  <c r="B8" i="9"/>
  <c r="B14" i="9" s="1"/>
  <c r="C41" i="1"/>
  <c r="D41" i="1"/>
  <c r="E41" i="1"/>
  <c r="F41" i="1"/>
  <c r="G41" i="1"/>
  <c r="H41" i="1"/>
  <c r="I41" i="1"/>
  <c r="J41" i="1"/>
  <c r="K41" i="1"/>
  <c r="L41" i="1"/>
  <c r="B41" i="1"/>
  <c r="L29" i="1"/>
  <c r="L34" i="1" s="1"/>
  <c r="C29" i="1"/>
  <c r="C34" i="1" s="1"/>
  <c r="D29" i="1"/>
  <c r="D34" i="1" s="1"/>
  <c r="E29" i="1"/>
  <c r="E34" i="1" s="1"/>
  <c r="F29" i="1"/>
  <c r="F34" i="1" s="1"/>
  <c r="G29" i="1"/>
  <c r="G34" i="1" s="1"/>
  <c r="H29" i="1"/>
  <c r="H34" i="1" s="1"/>
  <c r="I29" i="1"/>
  <c r="I34" i="1" s="1"/>
  <c r="J29" i="1"/>
  <c r="J34" i="1" s="1"/>
  <c r="K29" i="1"/>
  <c r="K34" i="1" s="1"/>
  <c r="B29" i="1"/>
  <c r="B34" i="1" s="1"/>
  <c r="C13" i="1"/>
  <c r="D13" i="1"/>
  <c r="E13" i="1"/>
  <c r="F13" i="1"/>
  <c r="G13" i="1"/>
  <c r="H13" i="1"/>
  <c r="I13" i="1"/>
  <c r="J13" i="1"/>
  <c r="K13" i="1"/>
  <c r="L13" i="1"/>
  <c r="B13" i="1"/>
  <c r="B137" i="9" l="1"/>
  <c r="B87" i="10"/>
  <c r="M51" i="10"/>
  <c r="B55" i="10"/>
  <c r="B57" i="10" s="1"/>
  <c r="J18" i="1"/>
  <c r="J55" i="1"/>
  <c r="H47" i="1"/>
  <c r="I18" i="1"/>
  <c r="I55" i="1"/>
  <c r="G47" i="1"/>
  <c r="P53" i="1"/>
  <c r="H18" i="1"/>
  <c r="H55" i="1"/>
  <c r="F47" i="1"/>
  <c r="B43" i="1"/>
  <c r="B50" i="1" s="1"/>
  <c r="B51" i="1" s="1"/>
  <c r="U53" i="1"/>
  <c r="F18" i="1"/>
  <c r="F55" i="1"/>
  <c r="D47" i="1"/>
  <c r="G18" i="1"/>
  <c r="G55" i="1"/>
  <c r="E18" i="1"/>
  <c r="E55" i="1"/>
  <c r="E47" i="1"/>
  <c r="D18" i="1"/>
  <c r="D55" i="1"/>
  <c r="J43" i="1"/>
  <c r="R53" i="1"/>
  <c r="L43" i="1"/>
  <c r="L50" i="1" s="1"/>
  <c r="L51" i="1" s="1"/>
  <c r="B18" i="1"/>
  <c r="B55" i="1"/>
  <c r="K43" i="1"/>
  <c r="K50" i="1" s="1"/>
  <c r="K51" i="1" s="1"/>
  <c r="C43" i="1"/>
  <c r="C50" i="1" s="1"/>
  <c r="C51" i="1" s="1"/>
  <c r="L18" i="1"/>
  <c r="L55" i="1"/>
  <c r="K18" i="1"/>
  <c r="K55" i="1"/>
  <c r="C18" i="1"/>
  <c r="C55" i="1"/>
  <c r="I47" i="1"/>
  <c r="B57" i="9"/>
  <c r="F14" i="9"/>
  <c r="F31" i="9" s="1"/>
  <c r="M14" i="9"/>
  <c r="M18" i="9" s="1"/>
  <c r="N14" i="9"/>
  <c r="N31" i="9" s="1"/>
  <c r="G14" i="9"/>
  <c r="G18" i="9" s="1"/>
  <c r="P18" i="9"/>
  <c r="P35" i="9" s="1"/>
  <c r="V35" i="9"/>
  <c r="V20" i="9"/>
  <c r="V22" i="9" s="1"/>
  <c r="U35" i="9"/>
  <c r="U20" i="9"/>
  <c r="U22" i="9" s="1"/>
  <c r="U57" i="1" s="1"/>
  <c r="T35" i="9"/>
  <c r="T20" i="9"/>
  <c r="T22" i="9" s="1"/>
  <c r="T57" i="1" s="1"/>
  <c r="S35" i="9"/>
  <c r="S20" i="9"/>
  <c r="S22" i="9" s="1"/>
  <c r="R35" i="9"/>
  <c r="R20" i="9"/>
  <c r="R22" i="9" s="1"/>
  <c r="R57" i="1" s="1"/>
  <c r="Q35" i="9"/>
  <c r="Q20" i="9"/>
  <c r="Q22" i="9" s="1"/>
  <c r="Q57" i="1" s="1"/>
  <c r="O18" i="9"/>
  <c r="O31" i="9"/>
  <c r="D18" i="9"/>
  <c r="C18" i="9"/>
  <c r="B18" i="9"/>
  <c r="L18" i="9"/>
  <c r="L31" i="9"/>
  <c r="K18" i="9"/>
  <c r="K31" i="9"/>
  <c r="J31" i="9"/>
  <c r="J18" i="9"/>
  <c r="H31" i="9"/>
  <c r="H18" i="9"/>
  <c r="I31" i="9"/>
  <c r="I18" i="9"/>
  <c r="C31" i="9"/>
  <c r="D31" i="9"/>
  <c r="E31" i="9"/>
  <c r="E18" i="9"/>
  <c r="L44" i="1"/>
  <c r="L45" i="1" s="1"/>
  <c r="B47" i="1"/>
  <c r="L47" i="1"/>
  <c r="K47" i="1"/>
  <c r="C47" i="1"/>
  <c r="J47" i="1"/>
  <c r="I43" i="1"/>
  <c r="H43" i="1"/>
  <c r="G43" i="1"/>
  <c r="G50" i="1" s="1"/>
  <c r="G51" i="1" s="1"/>
  <c r="F43" i="1"/>
  <c r="F50" i="1" s="1"/>
  <c r="F51" i="1" s="1"/>
  <c r="E43" i="1"/>
  <c r="D43" i="1"/>
  <c r="D50" i="1" s="1"/>
  <c r="D51" i="1" s="1"/>
  <c r="C44" i="1"/>
  <c r="J44" i="1" l="1"/>
  <c r="J50" i="1"/>
  <c r="J51" i="1" s="1"/>
  <c r="I44" i="1"/>
  <c r="I45" i="1" s="1"/>
  <c r="I50" i="1"/>
  <c r="I51" i="1" s="1"/>
  <c r="H44" i="1"/>
  <c r="H45" i="1" s="1"/>
  <c r="H50" i="1"/>
  <c r="H51" i="1" s="1"/>
  <c r="E44" i="1"/>
  <c r="E45" i="1" s="1"/>
  <c r="E50" i="1"/>
  <c r="E51" i="1" s="1"/>
  <c r="J45" i="1"/>
  <c r="K44" i="1"/>
  <c r="K45" i="1" s="1"/>
  <c r="Q58" i="1"/>
  <c r="U58" i="1"/>
  <c r="S57" i="1"/>
  <c r="S58" i="1"/>
  <c r="R58" i="1"/>
  <c r="T58" i="1"/>
  <c r="B53" i="1"/>
  <c r="B44" i="1"/>
  <c r="B45" i="1" s="1"/>
  <c r="K53" i="1"/>
  <c r="L53" i="1"/>
  <c r="C45" i="1"/>
  <c r="C53" i="1"/>
  <c r="F18" i="9"/>
  <c r="F35" i="9" s="1"/>
  <c r="N18" i="9"/>
  <c r="N20" i="9" s="1"/>
  <c r="N22" i="9" s="1"/>
  <c r="G31" i="9"/>
  <c r="M31" i="9"/>
  <c r="P20" i="9"/>
  <c r="P22" i="9" s="1"/>
  <c r="B20" i="9"/>
  <c r="B22" i="9" s="1"/>
  <c r="B35" i="9"/>
  <c r="L20" i="9"/>
  <c r="L22" i="9" s="1"/>
  <c r="L35" i="9"/>
  <c r="H20" i="9"/>
  <c r="H22" i="9" s="1"/>
  <c r="H35" i="9"/>
  <c r="G20" i="9"/>
  <c r="G22" i="9" s="1"/>
  <c r="G35" i="9"/>
  <c r="J20" i="9"/>
  <c r="J22" i="9" s="1"/>
  <c r="J35" i="9"/>
  <c r="C20" i="9"/>
  <c r="C22" i="9" s="1"/>
  <c r="C57" i="1" s="1"/>
  <c r="C35" i="9"/>
  <c r="D20" i="9"/>
  <c r="D22" i="9" s="1"/>
  <c r="D35" i="9"/>
  <c r="E20" i="9"/>
  <c r="E22" i="9" s="1"/>
  <c r="E35" i="9"/>
  <c r="M20" i="9"/>
  <c r="M22" i="9" s="1"/>
  <c r="M35" i="9"/>
  <c r="K20" i="9"/>
  <c r="K22" i="9" s="1"/>
  <c r="K35" i="9"/>
  <c r="I20" i="9"/>
  <c r="I22" i="9" s="1"/>
  <c r="I35" i="9"/>
  <c r="V32" i="9"/>
  <c r="U32" i="9"/>
  <c r="T32" i="9"/>
  <c r="S32" i="9"/>
  <c r="R32" i="9"/>
  <c r="R25" i="9"/>
  <c r="Q25" i="9"/>
  <c r="Q32" i="9"/>
  <c r="O35" i="9"/>
  <c r="O20" i="9"/>
  <c r="O22" i="9" s="1"/>
  <c r="D44" i="1"/>
  <c r="D45" i="1" s="1"/>
  <c r="F44" i="1"/>
  <c r="F45" i="1" s="1"/>
  <c r="G44" i="1"/>
  <c r="G45" i="1" s="1"/>
  <c r="F20" i="9" l="1"/>
  <c r="F22" i="9" s="1"/>
  <c r="F57" i="1" s="1"/>
  <c r="M25" i="9"/>
  <c r="M57" i="1"/>
  <c r="M58" i="1"/>
  <c r="J25" i="9"/>
  <c r="J57" i="1"/>
  <c r="L25" i="9"/>
  <c r="L57" i="1"/>
  <c r="O57" i="1"/>
  <c r="O58" i="1"/>
  <c r="E25" i="9"/>
  <c r="E57" i="1"/>
  <c r="G32" i="9"/>
  <c r="G57" i="1"/>
  <c r="B25" i="9"/>
  <c r="P32" i="9"/>
  <c r="P57" i="1"/>
  <c r="P58" i="1"/>
  <c r="I25" i="9"/>
  <c r="I57" i="1"/>
  <c r="D25" i="9"/>
  <c r="D57" i="1"/>
  <c r="F32" i="9"/>
  <c r="L58" i="1"/>
  <c r="K32" i="9"/>
  <c r="H25" i="9"/>
  <c r="H57" i="1"/>
  <c r="N57" i="1"/>
  <c r="N58" i="1"/>
  <c r="D53" i="1"/>
  <c r="D58" i="1"/>
  <c r="E53" i="1"/>
  <c r="E58" i="1"/>
  <c r="C58" i="1"/>
  <c r="I53" i="1"/>
  <c r="I58" i="1"/>
  <c r="H53" i="1"/>
  <c r="H58" i="1"/>
  <c r="G53" i="1"/>
  <c r="G58" i="1"/>
  <c r="J53" i="1"/>
  <c r="J58" i="1"/>
  <c r="F53" i="1"/>
  <c r="F58" i="1"/>
  <c r="N35" i="9"/>
  <c r="M32" i="9"/>
  <c r="E32" i="9"/>
  <c r="G25" i="9"/>
  <c r="L32" i="9"/>
  <c r="J32" i="9"/>
  <c r="B32" i="9"/>
  <c r="P25" i="9"/>
  <c r="D32" i="9"/>
  <c r="I32" i="9"/>
  <c r="C25" i="9"/>
  <c r="C32" i="9"/>
  <c r="H32" i="9"/>
  <c r="K25" i="9"/>
  <c r="O32" i="9"/>
  <c r="O25" i="9"/>
  <c r="N32" i="9"/>
  <c r="N25" i="9"/>
  <c r="F25" i="9" l="1"/>
</calcChain>
</file>

<file path=xl/sharedStrings.xml><?xml version="1.0" encoding="utf-8"?>
<sst xmlns="http://schemas.openxmlformats.org/spreadsheetml/2006/main" count="376" uniqueCount="282">
  <si>
    <t>ASSETS</t>
  </si>
  <si>
    <t xml:space="preserve">  Cash and cash equivalents</t>
  </si>
  <si>
    <t>TOTAL ASSETS</t>
  </si>
  <si>
    <t xml:space="preserve">  Accounts payable</t>
  </si>
  <si>
    <t xml:space="preserve">  Common stock</t>
  </si>
  <si>
    <t xml:space="preserve">  Retained earnings</t>
  </si>
  <si>
    <t>Shares outstanding</t>
  </si>
  <si>
    <t>Book value per share</t>
  </si>
  <si>
    <t xml:space="preserve">  Accumulated other comprehensive income (loss)</t>
  </si>
  <si>
    <t>Fiscal Years</t>
  </si>
  <si>
    <t xml:space="preserve">  Other current assets</t>
  </si>
  <si>
    <t xml:space="preserve">  Current portion of long-term debt</t>
  </si>
  <si>
    <t>Gross margin</t>
  </si>
  <si>
    <t>Net margin</t>
  </si>
  <si>
    <t>SG&amp;A as % of net sales</t>
  </si>
  <si>
    <t xml:space="preserve">  Interest expense</t>
  </si>
  <si>
    <t>Total Liabilities</t>
  </si>
  <si>
    <t>Figures in millions except per share amounts</t>
  </si>
  <si>
    <t xml:space="preserve">Costco Cash Flow Analysis </t>
  </si>
  <si>
    <t>Fiscal Years Ending</t>
  </si>
  <si>
    <t>Cumulative</t>
  </si>
  <si>
    <t>Figures in millions</t>
  </si>
  <si>
    <t>Fiscal Years Ending On</t>
  </si>
  <si>
    <t>Current Assets:</t>
  </si>
  <si>
    <t xml:space="preserve">  Short-term investments</t>
  </si>
  <si>
    <t xml:space="preserve">  Receivables, net</t>
  </si>
  <si>
    <t xml:space="preserve">  Merchandise inventories</t>
  </si>
  <si>
    <t xml:space="preserve">    Total current assets</t>
  </si>
  <si>
    <t>Other Assets:</t>
  </si>
  <si>
    <t xml:space="preserve">  Property and equipment, net</t>
  </si>
  <si>
    <t xml:space="preserve">  Operating lease right-of-use-assets</t>
  </si>
  <si>
    <t xml:space="preserve">  Other long-term assets</t>
  </si>
  <si>
    <t>LIABILITIES AND EQUITY</t>
  </si>
  <si>
    <t>Current Liabilities:</t>
  </si>
  <si>
    <t xml:space="preserve">  Accrued salaries and benefits</t>
  </si>
  <si>
    <t xml:space="preserve">  Accrued member rewards</t>
  </si>
  <si>
    <t xml:space="preserve">  Deferred membership fees</t>
  </si>
  <si>
    <t xml:space="preserve">  Other current liabilities</t>
  </si>
  <si>
    <t xml:space="preserve">    Total current liabilities</t>
  </si>
  <si>
    <t>Other Liabilities:</t>
  </si>
  <si>
    <t xml:space="preserve">  Long-term debt, excluding current portion</t>
  </si>
  <si>
    <t xml:space="preserve">  Long-term operating lease liabilities</t>
  </si>
  <si>
    <t xml:space="preserve">  Other long-term liabilities</t>
  </si>
  <si>
    <t>Equity:</t>
  </si>
  <si>
    <t xml:space="preserve">  Preferred stock</t>
  </si>
  <si>
    <t xml:space="preserve">  Additional paid-in capital</t>
  </si>
  <si>
    <t xml:space="preserve">  Total Costco stockholders' equity</t>
  </si>
  <si>
    <t xml:space="preserve">  Noncontrolling interests</t>
  </si>
  <si>
    <t xml:space="preserve">  Total Equity</t>
  </si>
  <si>
    <t>TOTAL LIABILITIES AND EQUITY</t>
  </si>
  <si>
    <t xml:space="preserve">  Accrued sales and other taxes</t>
  </si>
  <si>
    <t>Total Debt</t>
  </si>
  <si>
    <t>Total Capital</t>
  </si>
  <si>
    <t>Debt as % of Total Capital</t>
  </si>
  <si>
    <t xml:space="preserve">  Net sales</t>
  </si>
  <si>
    <t xml:space="preserve">  Membership fees</t>
  </si>
  <si>
    <t>Total Revenue</t>
  </si>
  <si>
    <t>Operating Expenses:</t>
  </si>
  <si>
    <t>Revenue:</t>
  </si>
  <si>
    <t xml:space="preserve">  Merchandise costs</t>
  </si>
  <si>
    <t xml:space="preserve">  Selling, general and administrative</t>
  </si>
  <si>
    <t>Operating Income</t>
  </si>
  <si>
    <t>Other income (expense):</t>
  </si>
  <si>
    <t xml:space="preserve">  Interest income and other, net</t>
  </si>
  <si>
    <t>Income Before Income Taxes</t>
  </si>
  <si>
    <t>Provision for income taxes</t>
  </si>
  <si>
    <t>Net income including noncontrolling interests</t>
  </si>
  <si>
    <t>Net income attributable to noncontrolling interests</t>
  </si>
  <si>
    <t>Net income attributable to Costco</t>
  </si>
  <si>
    <t>Diluted shares outstanding</t>
  </si>
  <si>
    <t>Net income per diluted share</t>
  </si>
  <si>
    <t>Operating margin</t>
  </si>
  <si>
    <t xml:space="preserve">  Preopening expenses</t>
  </si>
  <si>
    <t>Effective Tax Rate</t>
  </si>
  <si>
    <t xml:space="preserve">  Provision for impaired assets and closing costs, net</t>
  </si>
  <si>
    <t>United States and Puerto Rico</t>
  </si>
  <si>
    <t xml:space="preserve">Canada </t>
  </si>
  <si>
    <t>Other International</t>
  </si>
  <si>
    <t>United States</t>
  </si>
  <si>
    <t>Canada</t>
  </si>
  <si>
    <t>Total</t>
  </si>
  <si>
    <t>Mexico</t>
  </si>
  <si>
    <t>Japan</t>
  </si>
  <si>
    <t>United Kingdom</t>
  </si>
  <si>
    <t>Korea</t>
  </si>
  <si>
    <t>Taiwan</t>
  </si>
  <si>
    <t>Australia</t>
  </si>
  <si>
    <t>Spain</t>
  </si>
  <si>
    <t>France</t>
  </si>
  <si>
    <t>China</t>
  </si>
  <si>
    <t>Iceland</t>
  </si>
  <si>
    <t>Gasoline sales as % of total net sales</t>
  </si>
  <si>
    <t>Estimated gasoline sales (millions)</t>
  </si>
  <si>
    <t>Gasoline sales per station (millions)</t>
  </si>
  <si>
    <t>Prior to 2011, Mexico business was operated via an unconsolidated joint venture</t>
  </si>
  <si>
    <t>Data not provided</t>
  </si>
  <si>
    <t xml:space="preserve">Other International </t>
  </si>
  <si>
    <t>Average for all stores</t>
  </si>
  <si>
    <t>Net sales per warehouse ($ millions)</t>
  </si>
  <si>
    <t>Net sales per square foot ($)</t>
  </si>
  <si>
    <t>Costco Operating Summary &amp; Statistics</t>
  </si>
  <si>
    <t>Food</t>
  </si>
  <si>
    <t>Sundries</t>
  </si>
  <si>
    <t>Fresh Food</t>
  </si>
  <si>
    <t>Hardlines</t>
  </si>
  <si>
    <t>Softlines</t>
  </si>
  <si>
    <t>Ancillary and other (includes gasoline sales)</t>
  </si>
  <si>
    <t>Operating Margin by Region</t>
  </si>
  <si>
    <t xml:space="preserve">    </t>
  </si>
  <si>
    <t>MARGIN ANALYSIS</t>
  </si>
  <si>
    <t>REGIONAL ANALYSIS</t>
  </si>
  <si>
    <t>NET SALES BY PRODUCT CATEGORY</t>
  </si>
  <si>
    <t>WAREHOUSES AT FISCAL YEAR-END</t>
  </si>
  <si>
    <t>WAREHOUSE SQUARE FEET (millions)</t>
  </si>
  <si>
    <t>SQUARE FEET PER STORE (average)</t>
  </si>
  <si>
    <t>Note: Above data includes all revenue, not just net sales, because regional data are not broken down by net sales and membership fees. Since membership fees are a small percentage of total revenue, the difference is not analytically meaningful.</t>
  </si>
  <si>
    <t>REVENUE PER SQUARE FOOT BY REGION</t>
  </si>
  <si>
    <t>REVENUE PER WAREHOUSE BY REGION (millions)</t>
  </si>
  <si>
    <t>OPERATING INCOME PER WAREHOUSE BY REGION (millions)</t>
  </si>
  <si>
    <r>
      <t>Revenue by Region:</t>
    </r>
    <r>
      <rPr>
        <i/>
        <sz val="14"/>
        <color theme="1"/>
        <rFont val="Calibri"/>
        <family val="2"/>
        <scheme val="minor"/>
      </rPr>
      <t xml:space="preserve"> (millions)</t>
    </r>
  </si>
  <si>
    <r>
      <t xml:space="preserve">Operating Income by Region </t>
    </r>
    <r>
      <rPr>
        <i/>
        <sz val="14"/>
        <color theme="1"/>
        <rFont val="Calibri"/>
        <family val="2"/>
        <scheme val="minor"/>
      </rPr>
      <t xml:space="preserve"> (millions)</t>
    </r>
  </si>
  <si>
    <t>% increase in store count</t>
  </si>
  <si>
    <t>Compound average increase in store count - Past ten years</t>
  </si>
  <si>
    <t>% increase in warehouse square footage</t>
  </si>
  <si>
    <t>Compound average increase in warehouse sf - Past ten years</t>
  </si>
  <si>
    <t xml:space="preserve">           The figures are calculated by taking total revenue for each region divided by the average of the square footage warehouses of at the end of the current and previous fiscal year.</t>
  </si>
  <si>
    <t>Note: The figures are calculated by taking operating income for each region divided by the average number of warehouses at the end of the current and previous fiscal year.</t>
  </si>
  <si>
    <t>Number of stations</t>
  </si>
  <si>
    <t>GAS STATIONS</t>
  </si>
  <si>
    <t>ANCILLARY BUSINESS COUNTS</t>
  </si>
  <si>
    <t>Food Courts</t>
  </si>
  <si>
    <t>Optical Dispensing Centers</t>
  </si>
  <si>
    <t>Photo Processing Centers</t>
  </si>
  <si>
    <t>Pharmacies</t>
  </si>
  <si>
    <t>Hearing-Aid Centers</t>
  </si>
  <si>
    <t>Gas Stations</t>
  </si>
  <si>
    <t>Total Number of Warehouses</t>
  </si>
  <si>
    <t>Print Shops and Copy Centers</t>
  </si>
  <si>
    <t>Car Washes</t>
  </si>
  <si>
    <t>ANCILLARY BUSINESS TYPES AS % OF TOTAL WAREHOUSES</t>
  </si>
  <si>
    <t>Measures the penetration of ancillary business types in Costco warehouses. The company stopped providing counts of ancillary businesses after FY 2015.</t>
  </si>
  <si>
    <t>Gold Star</t>
  </si>
  <si>
    <t>Business, including affiliates</t>
  </si>
  <si>
    <t>Total paid members</t>
  </si>
  <si>
    <t>Household cards</t>
  </si>
  <si>
    <t>Total cardholders</t>
  </si>
  <si>
    <t>Annual cost of membership - United States</t>
  </si>
  <si>
    <t>Membership renewal rate: U.S. and Canada</t>
  </si>
  <si>
    <t>Membership renewal rate - worldwide</t>
  </si>
  <si>
    <r>
      <t>MEMBERSHIP STATISTICS</t>
    </r>
    <r>
      <rPr>
        <i/>
        <sz val="14"/>
        <color theme="1"/>
        <rFont val="Calibri"/>
        <family val="2"/>
        <scheme val="minor"/>
      </rPr>
      <t xml:space="preserve"> (in thousands)</t>
    </r>
  </si>
  <si>
    <r>
      <t xml:space="preserve">Executive memberships </t>
    </r>
    <r>
      <rPr>
        <i/>
        <sz val="14"/>
        <color theme="1"/>
        <rFont val="Calibri"/>
        <family val="2"/>
        <scheme val="minor"/>
      </rPr>
      <t>(in thousands)</t>
    </r>
  </si>
  <si>
    <t>Executive members as % of paid members - U.S. and Canada</t>
  </si>
  <si>
    <t>Executive members as % of paid members - Other International</t>
  </si>
  <si>
    <t>Executive membership as % of worldwide net sales</t>
  </si>
  <si>
    <t xml:space="preserve">             </t>
  </si>
  <si>
    <t>Notes: Membership increased from $55 to $60 on 1/1/17, Membership increased from $50 to $55 on 1/1/12,  Membership increased from $45 to $50 on 7/1/06</t>
  </si>
  <si>
    <t>Membership Fees per Paid Member (worldwide)</t>
  </si>
  <si>
    <t xml:space="preserve">  Short-term borrowings</t>
  </si>
  <si>
    <t>Included in Other Current Liabilities</t>
  </si>
  <si>
    <t>Current ratio</t>
  </si>
  <si>
    <t>Return on average equity</t>
  </si>
  <si>
    <t xml:space="preserve">Return on average capital </t>
  </si>
  <si>
    <t>Inventory Turnover</t>
  </si>
  <si>
    <t>CASH FLOWS FROM OPERATING ACTIVITIES</t>
  </si>
  <si>
    <t>CASH FLOWS FROM INVESTING ACTIVITIES</t>
  </si>
  <si>
    <t>CASH FLOWS FROM FINANCING ACTIVITIES</t>
  </si>
  <si>
    <t xml:space="preserve">  Net income including noncontrolling interests</t>
  </si>
  <si>
    <t xml:space="preserve">  Adjustments to reconcile net income to net cash provided by op. activities:</t>
  </si>
  <si>
    <t xml:space="preserve">    Depreciation and amortization</t>
  </si>
  <si>
    <t xml:space="preserve">    Non-cash lease expense</t>
  </si>
  <si>
    <t xml:space="preserve">    Stock-based compensation</t>
  </si>
  <si>
    <t xml:space="preserve">    Other non-cash operating activities, net</t>
  </si>
  <si>
    <t xml:space="preserve">    Deferred income taxes</t>
  </si>
  <si>
    <t xml:space="preserve">    Changes in operating assets and liabilities:</t>
  </si>
  <si>
    <t xml:space="preserve">      Merchandise inventories</t>
  </si>
  <si>
    <t xml:space="preserve">      Accounts payable</t>
  </si>
  <si>
    <t xml:space="preserve">      Other operating assets and liabilities, net</t>
  </si>
  <si>
    <t xml:space="preserve">  Net cash provided by operating activities</t>
  </si>
  <si>
    <t xml:space="preserve">  Purchases of short-term investments</t>
  </si>
  <si>
    <t xml:space="preserve">  Maturities and sales of short-term investments</t>
  </si>
  <si>
    <t xml:space="preserve">  Additions to property and equipment</t>
  </si>
  <si>
    <t xml:space="preserve">  Acquisitions</t>
  </si>
  <si>
    <t xml:space="preserve">  Other investing activities, net</t>
  </si>
  <si>
    <t xml:space="preserve">  Net cash used in investing activities</t>
  </si>
  <si>
    <t xml:space="preserve">  Proceeds from issuance of long-term debt</t>
  </si>
  <si>
    <t xml:space="preserve">  Repayments of long-term debt</t>
  </si>
  <si>
    <t xml:space="preserve">  Tax withholdings on stock-based awards</t>
  </si>
  <si>
    <t xml:space="preserve">  Repurchases of common stock</t>
  </si>
  <si>
    <t xml:space="preserve">  Cash dividend payments</t>
  </si>
  <si>
    <t xml:space="preserve">  Dividend to noncontrolling interest</t>
  </si>
  <si>
    <t xml:space="preserve">  Acquisition of noncontrolling interest</t>
  </si>
  <si>
    <t xml:space="preserve">  Other financing activities, net</t>
  </si>
  <si>
    <r>
      <t xml:space="preserve">  </t>
    </r>
    <r>
      <rPr>
        <b/>
        <sz val="14"/>
        <color theme="1"/>
        <rFont val="Calibri"/>
        <family val="2"/>
        <scheme val="minor"/>
      </rPr>
      <t>Net cash used in financing activities</t>
    </r>
  </si>
  <si>
    <t>Effect of exchange rate changes on cash and cash equivalents</t>
  </si>
  <si>
    <t>Net change in cash and cash equivalents</t>
  </si>
  <si>
    <t>Cash and cash equivalents, beginning of year</t>
  </si>
  <si>
    <t>Cash and cash equivalents, end of year</t>
  </si>
  <si>
    <t>Note: Fiscal years ending on 9/3/17, 9/2/2012, and 9/3/2006 were 53 weeks</t>
  </si>
  <si>
    <t xml:space="preserve">  Change in bank payments outstanding</t>
  </si>
  <si>
    <t xml:space="preserve">  Proceeds from short-term borrowings</t>
  </si>
  <si>
    <t xml:space="preserve">  Repayments of short-term borrowings</t>
  </si>
  <si>
    <t xml:space="preserve">    Excess tax benefits on stock-based awards</t>
  </si>
  <si>
    <t xml:space="preserve">  Excess tax benefits on stock-based awards</t>
  </si>
  <si>
    <t xml:space="preserve">  Proceeds from exercise of stock options</t>
  </si>
  <si>
    <t>Cash flows from operations</t>
  </si>
  <si>
    <t>Free Cash Flow</t>
  </si>
  <si>
    <t>Less additions to property and equipment</t>
  </si>
  <si>
    <t>FCF as % of Net Income</t>
  </si>
  <si>
    <t>FY 12 - FY 22</t>
  </si>
  <si>
    <t>Selected sources and uses of cash:</t>
  </si>
  <si>
    <t>Sources of cash:</t>
  </si>
  <si>
    <t xml:space="preserve">  Free cash flow</t>
  </si>
  <si>
    <t xml:space="preserve">  Net debt issued</t>
  </si>
  <si>
    <t>Uses of cash:</t>
  </si>
  <si>
    <t xml:space="preserve">  Repurchases</t>
  </si>
  <si>
    <t xml:space="preserve">  Dividends</t>
  </si>
  <si>
    <t xml:space="preserve">  Acquisitions, including acquisitions of minority interests</t>
  </si>
  <si>
    <t xml:space="preserve">  Net effect of equity based compensation</t>
  </si>
  <si>
    <t>California as percentage of U.S. net sales</t>
  </si>
  <si>
    <t>New Warehouse Ramp-Up</t>
  </si>
  <si>
    <t>Updated 10/8/2022</t>
  </si>
  <si>
    <t xml:space="preserve">This exhibit here is created from the table provided in the FY 2022 10-K on page 21. </t>
  </si>
  <si>
    <t>Year Opened</t>
  </si>
  <si>
    <t># Warehouses</t>
  </si>
  <si>
    <t>2013 &amp; Before</t>
  </si>
  <si>
    <t>Totals</t>
  </si>
  <si>
    <r>
      <t xml:space="preserve">Average Sales Per Warehouse </t>
    </r>
    <r>
      <rPr>
        <i/>
        <sz val="14"/>
        <color theme="1"/>
        <rFont val="Calibri"/>
        <family val="2"/>
        <scheme val="minor"/>
      </rPr>
      <t>(millions)</t>
    </r>
  </si>
  <si>
    <t>References are to fiscal years</t>
  </si>
  <si>
    <t>Sales as Percentage of Average of all Warehouses</t>
  </si>
  <si>
    <t>CAPEX BY SEGMENT</t>
  </si>
  <si>
    <t>PROPERTY &amp; EQUIPMENT, NET BY SEGMENT</t>
  </si>
  <si>
    <t>TOTAL ASSETS BY SEGMENT</t>
  </si>
  <si>
    <t>OPERATING INCOME AS % of ASSETS BY SEGMENT</t>
  </si>
  <si>
    <t>NET NEW WAREHOUSES BY SEGMENT</t>
  </si>
  <si>
    <t>CAPEX PER NET NEW WAREHOUSE BY SEGMENT</t>
  </si>
  <si>
    <t>All Segments</t>
  </si>
  <si>
    <t>n/a</t>
  </si>
  <si>
    <t>Growth in net sales</t>
  </si>
  <si>
    <t>Total Company</t>
  </si>
  <si>
    <t>Increases in comparable sales:</t>
  </si>
  <si>
    <t>Increases in net sales:</t>
  </si>
  <si>
    <t>Increases in comparable sales excl ∆ forex and gas prices</t>
  </si>
  <si>
    <t>Miscellaneous:</t>
  </si>
  <si>
    <t>Percentage of net sales via e-commerce</t>
  </si>
  <si>
    <t>Membership Dues by Country</t>
  </si>
  <si>
    <t>Updated 10/15/2022</t>
  </si>
  <si>
    <t>Country</t>
  </si>
  <si>
    <t>Gold Star Membership</t>
  </si>
  <si>
    <t>Executive Membership</t>
  </si>
  <si>
    <t>South Korea</t>
  </si>
  <si>
    <t>Local Currency</t>
  </si>
  <si>
    <t>USD Equivalent</t>
  </si>
  <si>
    <t>Executive membership not offered</t>
  </si>
  <si>
    <t>C$ 60.00</t>
  </si>
  <si>
    <t>C$ 120.00</t>
  </si>
  <si>
    <t>M$ 500.00</t>
  </si>
  <si>
    <t>M$ 1,100.00</t>
  </si>
  <si>
    <t>¥ 4,840.00</t>
  </si>
  <si>
    <t>¥ 9,900.00</t>
  </si>
  <si>
    <t>£ 33.60</t>
  </si>
  <si>
    <t>£ 74.40</t>
  </si>
  <si>
    <t>₩ 80,000.00</t>
  </si>
  <si>
    <t>NT$ 1,350.00</t>
  </si>
  <si>
    <t>NT$ 3,000.00</t>
  </si>
  <si>
    <t>A$ 60</t>
  </si>
  <si>
    <t>€ 36.30</t>
  </si>
  <si>
    <t>€ 36.00</t>
  </si>
  <si>
    <t>CN¥ 299.00</t>
  </si>
  <si>
    <t>ISK 4,800.00</t>
  </si>
  <si>
    <t>₩ 33,000.00</t>
  </si>
  <si>
    <t>Dues data are for individual memberships and were retrieved on 10/14/22. Exchange rates as of 10/15/22.</t>
  </si>
  <si>
    <t>Net sales per paying member</t>
  </si>
  <si>
    <t>Payables to Inventory Ratio</t>
  </si>
  <si>
    <t>Note: Above data includes all revenue, not just net sales, because regional data are not broken down by net sales and membership fees. Since membership fees are a small</t>
  </si>
  <si>
    <t xml:space="preserve">           percentage of total revenue, the difference is not analytically meaningful.The figures are calculated by taking total revenue for each region divided by the average of </t>
  </si>
  <si>
    <r>
      <t xml:space="preserve">    </t>
    </r>
    <r>
      <rPr>
        <i/>
        <sz val="14"/>
        <color theme="1"/>
        <rFont val="Calibri"/>
        <family val="2"/>
        <scheme val="minor"/>
      </rPr>
      <t xml:space="preserve">       the number of warehouses at the end of the current and previous fiscal year.</t>
    </r>
  </si>
  <si>
    <t>All Regions</t>
  </si>
  <si>
    <t>Total Equity</t>
  </si>
  <si>
    <t>Updated on 10/25/22</t>
  </si>
  <si>
    <t>Updated on 10/25/2022</t>
  </si>
  <si>
    <t>Updated October 25, 2022</t>
  </si>
  <si>
    <t>Costco Wholesale Corporation Balance 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</si>
</sst>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409]mmmm\ d\,\ yyyy;@"/>
    <numFmt numFmtId="165" formatCode="_(* #,##0_);_(* \(#,##0\);_(* &quot;-&quot;??_);_(@_)"/>
    <numFmt numFmtId="166" formatCode="0.0%"/>
    <numFmt numFmtId="167" formatCode="_(* #,##0.0_);_(* \(#,##0.0\);_(* &quot;-&quot;??_);_(@_)"/>
    <numFmt numFmtId="168" formatCode="_(* #,##0.000_);_(* \(#,##0.000\);_(* &quot;-&quot;??_);_(@_)"/>
  </numFmts>
  <fonts count="12" x14ac:knownFonts="1">
    <font>
      <sz val="11"/>
      <color theme="1"/>
      <name val="Calibri"/>
      <family val="2"/>
      <scheme val="minor"/>
    </font>
    <font>
      <sz val="12"/>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b/>
      <sz val="14"/>
      <name val="Calibri"/>
      <family val="2"/>
      <scheme val="minor"/>
    </font>
    <font>
      <b/>
      <sz val="18"/>
      <color theme="1"/>
      <name val="Calibri"/>
      <family val="2"/>
      <scheme val="minor"/>
    </font>
    <font>
      <sz val="14"/>
      <color rgb="FF000000"/>
      <name val="Calibri"/>
      <family val="2"/>
      <scheme val="minor"/>
    </font>
    <font>
      <b/>
      <sz val="14"/>
      <color rgb="FF000000"/>
      <name val="Calibri"/>
      <family val="2"/>
      <scheme val="minor"/>
    </font>
    <font>
      <sz val="14"/>
      <color theme="1"/>
      <name val="Calibri"/>
      <family val="2"/>
    </font>
    <font>
      <i/>
      <sz val="12"/>
      <color theme="1"/>
      <name val="Calibri"/>
      <family val="2"/>
      <scheme val="minor"/>
    </font>
  </fonts>
  <fills count="5">
    <fill>
      <patternFill patternType="none"/>
    </fill>
    <fill>
      <patternFill patternType="gray125"/>
    </fill>
    <fill>
      <patternFill patternType="solid">
        <fgColor rgb="FFFFC000"/>
        <bgColor indexed="64"/>
      </patternFill>
    </fill>
    <fill>
      <patternFill patternType="solid">
        <fgColor theme="3" tint="0.79998168889431442"/>
        <bgColor indexed="64"/>
      </patternFill>
    </fill>
    <fill>
      <patternFill patternType="solid">
        <fgColor theme="3" tint="0.59999389629810485"/>
        <bgColor indexed="64"/>
      </patternFill>
    </fill>
  </fills>
  <borders count="19">
    <border>
      <left/>
      <right/>
      <top/>
      <bottom/>
      <diagonal/>
    </border>
    <border>
      <left/>
      <right/>
      <top style="thin">
        <color auto="1"/>
      </top>
      <bottom/>
      <diagonal/>
    </border>
    <border>
      <left/>
      <right/>
      <top style="thin">
        <color auto="1"/>
      </top>
      <bottom style="double">
        <color auto="1"/>
      </bottom>
      <diagonal/>
    </border>
    <border>
      <left style="double">
        <color auto="1"/>
      </left>
      <right/>
      <top/>
      <bottom/>
      <diagonal/>
    </border>
    <border>
      <left style="double">
        <color auto="1"/>
      </left>
      <right/>
      <top style="thin">
        <color auto="1"/>
      </top>
      <bottom/>
      <diagonal/>
    </border>
    <border>
      <left style="double">
        <color auto="1"/>
      </left>
      <right/>
      <top style="thin">
        <color auto="1"/>
      </top>
      <bottom style="double">
        <color auto="1"/>
      </bottom>
      <diagonal/>
    </border>
    <border>
      <left/>
      <right style="double">
        <color auto="1"/>
      </right>
      <top style="double">
        <color auto="1"/>
      </top>
      <bottom/>
      <diagonal/>
    </border>
    <border>
      <left/>
      <right style="double">
        <color auto="1"/>
      </right>
      <top/>
      <bottom/>
      <diagonal/>
    </border>
    <border>
      <left/>
      <right style="double">
        <color auto="1"/>
      </right>
      <top style="thin">
        <color auto="1"/>
      </top>
      <bottom style="double">
        <color auto="1"/>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1" fillId="0" borderId="0"/>
  </cellStyleXfs>
  <cellXfs count="108">
    <xf numFmtId="0" fontId="0" fillId="0" borderId="0" xfId="0"/>
    <xf numFmtId="0" fontId="4" fillId="0" borderId="0" xfId="0" applyFont="1"/>
    <xf numFmtId="164" fontId="5" fillId="0" borderId="0" xfId="0" applyNumberFormat="1" applyFont="1"/>
    <xf numFmtId="0" fontId="3" fillId="3" borderId="0" xfId="0" applyFont="1" applyFill="1" applyAlignment="1">
      <alignment horizontal="center"/>
    </xf>
    <xf numFmtId="0" fontId="3" fillId="3" borderId="0" xfId="1" applyNumberFormat="1" applyFont="1" applyFill="1" applyAlignment="1">
      <alignment horizontal="center"/>
    </xf>
    <xf numFmtId="14" fontId="3" fillId="3" borderId="0" xfId="0" applyNumberFormat="1" applyFont="1" applyFill="1" applyAlignment="1">
      <alignment horizontal="center"/>
    </xf>
    <xf numFmtId="0" fontId="3" fillId="0" borderId="0" xfId="0" applyFont="1"/>
    <xf numFmtId="165" fontId="3" fillId="0" borderId="0" xfId="1" applyNumberFormat="1" applyFont="1"/>
    <xf numFmtId="165" fontId="4" fillId="0" borderId="0" xfId="1" applyNumberFormat="1" applyFont="1" applyFill="1"/>
    <xf numFmtId="165" fontId="4" fillId="0" borderId="0" xfId="1" applyNumberFormat="1" applyFont="1"/>
    <xf numFmtId="165" fontId="3" fillId="0" borderId="2" xfId="1" applyNumberFormat="1" applyFont="1" applyBorder="1"/>
    <xf numFmtId="165" fontId="4" fillId="0" borderId="1" xfId="1" applyNumberFormat="1" applyFont="1" applyBorder="1"/>
    <xf numFmtId="165" fontId="3" fillId="0" borderId="1" xfId="1" applyNumberFormat="1" applyFont="1" applyBorder="1"/>
    <xf numFmtId="43" fontId="4" fillId="0" borderId="0" xfId="1" applyFont="1"/>
    <xf numFmtId="9" fontId="4" fillId="0" borderId="0" xfId="2" applyFont="1"/>
    <xf numFmtId="164" fontId="4" fillId="0" borderId="0" xfId="0" applyNumberFormat="1" applyFont="1"/>
    <xf numFmtId="165" fontId="3" fillId="0" borderId="0" xfId="1" applyNumberFormat="1" applyFont="1" applyFill="1"/>
    <xf numFmtId="166" fontId="4" fillId="0" borderId="0" xfId="2" applyNumberFormat="1" applyFont="1"/>
    <xf numFmtId="167" fontId="4" fillId="0" borderId="0" xfId="1" applyNumberFormat="1" applyFont="1"/>
    <xf numFmtId="167" fontId="4" fillId="0" borderId="0" xfId="1" applyNumberFormat="1" applyFont="1" applyFill="1"/>
    <xf numFmtId="167" fontId="3" fillId="0" borderId="2" xfId="1" applyNumberFormat="1" applyFont="1" applyBorder="1"/>
    <xf numFmtId="10" fontId="4" fillId="0" borderId="0" xfId="2" applyNumberFormat="1" applyFont="1"/>
    <xf numFmtId="0" fontId="5" fillId="0" borderId="0" xfId="0" applyFont="1"/>
    <xf numFmtId="0" fontId="5" fillId="3" borderId="0" xfId="0" applyFont="1" applyFill="1"/>
    <xf numFmtId="0" fontId="4" fillId="3" borderId="0" xfId="0" applyFont="1" applyFill="1"/>
    <xf numFmtId="0" fontId="7" fillId="3" borderId="0" xfId="0" applyFont="1" applyFill="1"/>
    <xf numFmtId="164" fontId="4" fillId="3" borderId="0" xfId="0" applyNumberFormat="1" applyFont="1" applyFill="1"/>
    <xf numFmtId="9" fontId="5" fillId="0" borderId="0" xfId="2" applyFont="1"/>
    <xf numFmtId="0" fontId="4" fillId="0" borderId="0" xfId="1" applyNumberFormat="1" applyFont="1" applyFill="1"/>
    <xf numFmtId="167" fontId="4" fillId="0" borderId="0" xfId="0" applyNumberFormat="1" applyFont="1"/>
    <xf numFmtId="9" fontId="4" fillId="0" borderId="0" xfId="2" applyFont="1" applyFill="1"/>
    <xf numFmtId="167" fontId="3" fillId="0" borderId="0" xfId="1" applyNumberFormat="1" applyFont="1" applyAlignment="1">
      <alignment horizontal="center" vertical="center"/>
    </xf>
    <xf numFmtId="9" fontId="3" fillId="0" borderId="2" xfId="2" applyFont="1" applyBorder="1"/>
    <xf numFmtId="9" fontId="4" fillId="0" borderId="0" xfId="2" applyFont="1" applyAlignment="1">
      <alignment horizontal="right" vertical="center"/>
    </xf>
    <xf numFmtId="9" fontId="4" fillId="0" borderId="0" xfId="2" applyFont="1" applyFill="1" applyAlignment="1">
      <alignment horizontal="right" vertical="center"/>
    </xf>
    <xf numFmtId="165" fontId="5" fillId="0" borderId="0" xfId="1" applyNumberFormat="1" applyFont="1"/>
    <xf numFmtId="165" fontId="4" fillId="0" borderId="0" xfId="0" applyNumberFormat="1" applyFont="1"/>
    <xf numFmtId="10" fontId="3" fillId="0" borderId="0" xfId="2" applyNumberFormat="1" applyFont="1"/>
    <xf numFmtId="0" fontId="3" fillId="0" borderId="0" xfId="0" applyFont="1" applyAlignment="1">
      <alignment horizontal="left"/>
    </xf>
    <xf numFmtId="0" fontId="3" fillId="2" borderId="0" xfId="0" applyFont="1" applyFill="1"/>
    <xf numFmtId="167" fontId="3" fillId="0" borderId="0" xfId="1" applyNumberFormat="1" applyFont="1"/>
    <xf numFmtId="165" fontId="3" fillId="0" borderId="0" xfId="1" applyNumberFormat="1" applyFont="1" applyBorder="1"/>
    <xf numFmtId="166" fontId="5" fillId="0" borderId="0" xfId="2" applyNumberFormat="1" applyFont="1" applyBorder="1"/>
    <xf numFmtId="167" fontId="3" fillId="0" borderId="0" xfId="1" applyNumberFormat="1" applyFont="1" applyBorder="1"/>
    <xf numFmtId="165" fontId="4" fillId="0" borderId="0" xfId="1" applyNumberFormat="1" applyFont="1" applyAlignment="1">
      <alignment vertical="center"/>
    </xf>
    <xf numFmtId="166" fontId="4" fillId="0" borderId="0" xfId="2" applyNumberFormat="1" applyFont="1" applyFill="1"/>
    <xf numFmtId="0" fontId="4" fillId="0" borderId="0" xfId="1" applyNumberFormat="1" applyFont="1"/>
    <xf numFmtId="165" fontId="4" fillId="0" borderId="0" xfId="1" applyNumberFormat="1" applyFont="1" applyBorder="1"/>
    <xf numFmtId="9" fontId="4" fillId="0" borderId="0" xfId="2" applyFont="1" applyBorder="1"/>
    <xf numFmtId="166" fontId="4" fillId="0" borderId="0" xfId="2" applyNumberFormat="1" applyFont="1" applyBorder="1"/>
    <xf numFmtId="165" fontId="3" fillId="0" borderId="0" xfId="1" applyNumberFormat="1" applyFont="1" applyAlignment="1"/>
    <xf numFmtId="43" fontId="4" fillId="0" borderId="0" xfId="0" applyNumberFormat="1" applyFont="1"/>
    <xf numFmtId="165" fontId="4" fillId="0" borderId="3" xfId="1" applyNumberFormat="1" applyFont="1" applyBorder="1"/>
    <xf numFmtId="165" fontId="3" fillId="0" borderId="3" xfId="1" applyNumberFormat="1" applyFont="1" applyBorder="1"/>
    <xf numFmtId="165" fontId="3" fillId="0" borderId="4" xfId="1" applyNumberFormat="1" applyFont="1" applyBorder="1"/>
    <xf numFmtId="165" fontId="4" fillId="0" borderId="4" xfId="1" applyNumberFormat="1" applyFont="1" applyBorder="1"/>
    <xf numFmtId="165" fontId="3" fillId="0" borderId="5" xfId="1" applyNumberFormat="1" applyFont="1" applyBorder="1"/>
    <xf numFmtId="165" fontId="4" fillId="0" borderId="6" xfId="1" applyNumberFormat="1" applyFont="1" applyBorder="1"/>
    <xf numFmtId="165" fontId="4" fillId="0" borderId="7" xfId="1" applyNumberFormat="1" applyFont="1" applyBorder="1"/>
    <xf numFmtId="165" fontId="3" fillId="0" borderId="8" xfId="1" applyNumberFormat="1" applyFont="1" applyBorder="1"/>
    <xf numFmtId="9" fontId="5" fillId="0" borderId="7" xfId="2" applyFont="1" applyBorder="1"/>
    <xf numFmtId="165" fontId="3" fillId="2" borderId="9" xfId="1" applyNumberFormat="1" applyFont="1" applyFill="1" applyBorder="1"/>
    <xf numFmtId="165" fontId="4" fillId="0" borderId="0" xfId="1" applyNumberFormat="1" applyFont="1" applyFill="1" applyBorder="1"/>
    <xf numFmtId="0" fontId="3" fillId="0" borderId="0" xfId="0" applyFont="1" applyAlignment="1">
      <alignment horizontal="center"/>
    </xf>
    <xf numFmtId="0" fontId="3" fillId="2" borderId="9" xfId="0" applyFont="1" applyFill="1" applyBorder="1"/>
    <xf numFmtId="0" fontId="3" fillId="0" borderId="1"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2" borderId="9" xfId="0" applyFont="1" applyFill="1" applyBorder="1" applyAlignment="1">
      <alignment horizontal="center"/>
    </xf>
    <xf numFmtId="9" fontId="3" fillId="0" borderId="0" xfId="2" applyFont="1"/>
    <xf numFmtId="0" fontId="3" fillId="0" borderId="2" xfId="0" applyFont="1" applyBorder="1"/>
    <xf numFmtId="43" fontId="3" fillId="0" borderId="0" xfId="0" applyNumberFormat="1" applyFont="1"/>
    <xf numFmtId="43" fontId="4" fillId="0" borderId="0" xfId="0" applyNumberFormat="1" applyFont="1" applyAlignment="1">
      <alignment horizontal="right"/>
    </xf>
    <xf numFmtId="0" fontId="8" fillId="0" borderId="0" xfId="0" applyFont="1"/>
    <xf numFmtId="0" fontId="9" fillId="0" borderId="0" xfId="0" applyFont="1"/>
    <xf numFmtId="168" fontId="4" fillId="0" borderId="0" xfId="1" applyNumberFormat="1" applyFont="1"/>
    <xf numFmtId="9" fontId="4" fillId="0" borderId="0" xfId="2" applyFont="1" applyAlignment="1">
      <alignment vertical="center"/>
    </xf>
    <xf numFmtId="0" fontId="3" fillId="4" borderId="9" xfId="0" applyFont="1" applyFill="1" applyBorder="1" applyAlignment="1">
      <alignment horizontal="center"/>
    </xf>
    <xf numFmtId="2" fontId="4" fillId="0" borderId="0" xfId="1" applyNumberFormat="1" applyFont="1" applyBorder="1" applyAlignment="1">
      <alignment horizontal="right"/>
    </xf>
    <xf numFmtId="2" fontId="10" fillId="0" borderId="0" xfId="0" applyNumberFormat="1" applyFont="1" applyAlignment="1">
      <alignment horizontal="right"/>
    </xf>
    <xf numFmtId="2" fontId="4" fillId="0" borderId="0" xfId="1" quotePrefix="1" applyNumberFormat="1" applyFont="1" applyBorder="1" applyAlignment="1">
      <alignment horizontal="right"/>
    </xf>
    <xf numFmtId="0" fontId="3" fillId="4" borderId="14" xfId="0" applyFont="1" applyFill="1" applyBorder="1" applyAlignment="1">
      <alignment horizontal="center"/>
    </xf>
    <xf numFmtId="2" fontId="4" fillId="0" borderId="11" xfId="1" applyNumberFormat="1" applyFont="1" applyBorder="1" applyAlignment="1">
      <alignment horizontal="right"/>
    </xf>
    <xf numFmtId="0" fontId="3" fillId="0" borderId="15" xfId="0" applyFont="1" applyBorder="1"/>
    <xf numFmtId="0" fontId="6" fillId="3" borderId="0" xfId="0" applyFont="1" applyFill="1" applyAlignment="1">
      <alignment horizontal="center" wrapText="1"/>
    </xf>
    <xf numFmtId="165" fontId="4" fillId="0" borderId="0" xfId="1" applyNumberFormat="1" applyFont="1" applyAlignment="1">
      <alignment horizontal="center"/>
    </xf>
    <xf numFmtId="0" fontId="7" fillId="3" borderId="0" xfId="0" applyFont="1" applyFill="1" applyAlignment="1">
      <alignment horizontal="left"/>
    </xf>
    <xf numFmtId="0" fontId="3" fillId="3" borderId="0" xfId="0" applyFont="1" applyFill="1" applyAlignment="1">
      <alignment horizontal="center"/>
    </xf>
    <xf numFmtId="9" fontId="4" fillId="0" borderId="0" xfId="2" applyFont="1" applyAlignment="1">
      <alignment horizontal="right" vertical="center"/>
    </xf>
    <xf numFmtId="166" fontId="3" fillId="0" borderId="0" xfId="2" applyNumberFormat="1" applyFont="1" applyAlignment="1">
      <alignment horizontal="center" vertical="center"/>
    </xf>
    <xf numFmtId="165" fontId="3" fillId="0" borderId="0" xfId="1" applyNumberFormat="1" applyFont="1" applyAlignment="1">
      <alignment horizontal="center" vertical="center"/>
    </xf>
    <xf numFmtId="165" fontId="3" fillId="0" borderId="0" xfId="1" applyNumberFormat="1" applyFont="1" applyAlignment="1">
      <alignment horizontal="center"/>
    </xf>
    <xf numFmtId="167" fontId="3" fillId="0" borderId="0" xfId="1" applyNumberFormat="1" applyFont="1" applyAlignment="1">
      <alignment horizontal="center" vertical="center"/>
    </xf>
    <xf numFmtId="9" fontId="4" fillId="0" borderId="0" xfId="2" applyFont="1" applyBorder="1" applyAlignment="1">
      <alignment horizontal="right" vertical="center"/>
    </xf>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9" xfId="0" applyFont="1" applyFill="1" applyBorder="1" applyAlignment="1">
      <alignment horizontal="center"/>
    </xf>
    <xf numFmtId="0" fontId="11" fillId="0" borderId="16" xfId="0" applyFont="1" applyBorder="1" applyAlignment="1">
      <alignment horizontal="center"/>
    </xf>
    <xf numFmtId="0" fontId="11" fillId="0" borderId="17" xfId="0" applyFont="1" applyBorder="1" applyAlignment="1">
      <alignment horizontal="center"/>
    </xf>
    <xf numFmtId="0" fontId="11" fillId="0" borderId="18" xfId="0" applyFont="1" applyBorder="1" applyAlignment="1">
      <alignment horizontal="center"/>
    </xf>
    <xf numFmtId="0" fontId="3" fillId="2" borderId="1" xfId="0" applyFont="1" applyFill="1" applyBorder="1" applyAlignment="1">
      <alignment horizontal="center"/>
    </xf>
    <xf numFmtId="0" fontId="3" fillId="4" borderId="1" xfId="0" applyFont="1" applyFill="1" applyBorder="1" applyAlignment="1">
      <alignment horizontal="center"/>
    </xf>
    <xf numFmtId="0" fontId="3" fillId="4" borderId="10" xfId="0" applyFont="1" applyFill="1" applyBorder="1" applyAlignment="1">
      <alignment horizont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2" fontId="4" fillId="0" borderId="0" xfId="1" applyNumberFormat="1" applyFont="1" applyBorder="1" applyAlignment="1">
      <alignment horizontal="center" vertical="center"/>
    </xf>
    <xf numFmtId="2" fontId="4" fillId="0" borderId="11" xfId="1" applyNumberFormat="1" applyFont="1" applyBorder="1" applyAlignment="1">
      <alignment horizontal="center" vertical="center"/>
    </xf>
    <xf numFmtId="0" fontId="1" fillId="0" borderId="0" xfId="3"/>
  </cellXfs>
  <cellStyles count="4">
    <cellStyle name="Comma" xfId="1" builtinId="3"/>
    <cellStyle name="Normal" xfId="0" builtinId="0"/>
    <cellStyle name="Normal 2" xfId="3" xr:uid="{6B1C0D8E-E7A8-7C4C-811B-624875D33E86}"/>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Gross Margin</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'Operating Summary &amp; Stats'!$A$30</c:f>
              <c:strCache>
                <c:ptCount val="1"/>
                <c:pt idx="0">
                  <c:v>Gross margin</c:v>
                </c:pt>
              </c:strCache>
            </c:strRef>
          </c:tx>
          <c:spPr>
            <a:ln w="28575" cap="rnd">
              <a:solidFill>
                <a:schemeClr val="accent1"/>
              </a:solidFill>
              <a:round/>
            </a:ln>
            <a:effectLst/>
          </c:spPr>
          <c:marker>
            <c:symbol val="none"/>
          </c:marker>
          <c:cat>
            <c:numRef>
              <c:f>'Operating Summary &amp; Stats'!$B$4:$V$4</c:f>
              <c:numCache>
                <c:formatCode>m/d/yy</c:formatCode>
                <c:ptCount val="21"/>
                <c:pt idx="0">
                  <c:v>44801</c:v>
                </c:pt>
                <c:pt idx="1">
                  <c:v>44437</c:v>
                </c:pt>
                <c:pt idx="2">
                  <c:v>44073</c:v>
                </c:pt>
                <c:pt idx="3">
                  <c:v>43709</c:v>
                </c:pt>
                <c:pt idx="4">
                  <c:v>43345</c:v>
                </c:pt>
                <c:pt idx="5">
                  <c:v>42981</c:v>
                </c:pt>
                <c:pt idx="6">
                  <c:v>42610</c:v>
                </c:pt>
                <c:pt idx="7">
                  <c:v>42246</c:v>
                </c:pt>
                <c:pt idx="8">
                  <c:v>41882</c:v>
                </c:pt>
                <c:pt idx="9">
                  <c:v>41518</c:v>
                </c:pt>
                <c:pt idx="10">
                  <c:v>41154</c:v>
                </c:pt>
                <c:pt idx="11">
                  <c:v>40783</c:v>
                </c:pt>
                <c:pt idx="12">
                  <c:v>40419</c:v>
                </c:pt>
                <c:pt idx="13">
                  <c:v>40055</c:v>
                </c:pt>
                <c:pt idx="14">
                  <c:v>39691</c:v>
                </c:pt>
                <c:pt idx="15">
                  <c:v>39327</c:v>
                </c:pt>
                <c:pt idx="16">
                  <c:v>38963</c:v>
                </c:pt>
                <c:pt idx="17">
                  <c:v>38589</c:v>
                </c:pt>
                <c:pt idx="18">
                  <c:v>38228</c:v>
                </c:pt>
                <c:pt idx="19">
                  <c:v>37864</c:v>
                </c:pt>
                <c:pt idx="20">
                  <c:v>37500</c:v>
                </c:pt>
              </c:numCache>
            </c:numRef>
          </c:cat>
          <c:val>
            <c:numRef>
              <c:f>'Operating Summary &amp; Stats'!$B$30:$V$30</c:f>
              <c:numCache>
                <c:formatCode>0.00%</c:formatCode>
                <c:ptCount val="21"/>
                <c:pt idx="0">
                  <c:v>0.10482647151259372</c:v>
                </c:pt>
                <c:pt idx="1">
                  <c:v>0.11126153333472184</c:v>
                </c:pt>
                <c:pt idx="2">
                  <c:v>0.11200220561205734</c:v>
                </c:pt>
                <c:pt idx="3">
                  <c:v>0.11024365421055099</c:v>
                </c:pt>
                <c:pt idx="4">
                  <c:v>0.11039195573341809</c:v>
                </c:pt>
                <c:pt idx="5">
                  <c:v>0.11325809212820594</c:v>
                </c:pt>
                <c:pt idx="6">
                  <c:v>0.11348030980503648</c:v>
                </c:pt>
                <c:pt idx="7">
                  <c:v>0.11085988774127707</c:v>
                </c:pt>
                <c:pt idx="8">
                  <c:v>0.10664900373824991</c:v>
                </c:pt>
                <c:pt idx="9">
                  <c:v>0.10617283950617284</c:v>
                </c:pt>
                <c:pt idx="10">
                  <c:v>0.10548927489645793</c:v>
                </c:pt>
                <c:pt idx="11">
                  <c:v>0.10694099807003032</c:v>
                </c:pt>
                <c:pt idx="12">
                  <c:v>0.10832076585141957</c:v>
                </c:pt>
                <c:pt idx="13">
                  <c:v>0.10808567871911173</c:v>
                </c:pt>
                <c:pt idx="14">
                  <c:v>0.10531134070630056</c:v>
                </c:pt>
                <c:pt idx="15">
                  <c:v>0.10521717254710644</c:v>
                </c:pt>
                <c:pt idx="16">
                  <c:v>0.10545026574211223</c:v>
                </c:pt>
                <c:pt idx="17">
                  <c:v>0.10663469873303429</c:v>
                </c:pt>
                <c:pt idx="18">
                  <c:v>0.10724831923525571</c:v>
                </c:pt>
                <c:pt idx="19">
                  <c:v>0.10690878995384777</c:v>
                </c:pt>
                <c:pt idx="20">
                  <c:v>0.10554476309680819</c:v>
                </c:pt>
              </c:numCache>
            </c:numRef>
          </c:val>
          <c:smooth val="0"/>
          <c:extLst>
            <c:ext xmlns:c16="http://schemas.microsoft.com/office/drawing/2014/chart" uri="{C3380CC4-5D6E-409C-BE32-E72D297353CC}">
              <c16:uniqueId val="{00000000-D96C-204F-A3E1-C844DAEFEE98}"/>
            </c:ext>
          </c:extLst>
        </c:ser>
        <c:dLbls>
          <c:showLegendKey val="0"/>
          <c:showVal val="0"/>
          <c:showCatName val="0"/>
          <c:showSerName val="0"/>
          <c:showPercent val="0"/>
          <c:showBubbleSize val="0"/>
        </c:dLbls>
        <c:smooth val="0"/>
        <c:axId val="1413236224"/>
        <c:axId val="1412527040"/>
      </c:lineChart>
      <c:dateAx>
        <c:axId val="1413236224"/>
        <c:scaling>
          <c:orientation val="minMax"/>
          <c:max val="44926"/>
        </c:scaling>
        <c:delete val="0"/>
        <c:axPos val="b"/>
        <c:numFmt formatCode="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1412527040"/>
        <c:crosses val="autoZero"/>
        <c:auto val="1"/>
        <c:lblOffset val="100"/>
        <c:baseTimeUnit val="months"/>
        <c:majorUnit val="12"/>
        <c:majorTimeUnit val="months"/>
      </c:dateAx>
      <c:valAx>
        <c:axId val="14125270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14132362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'Operating Summary &amp; Stats'!$A$34</c:f>
              <c:strCache>
                <c:ptCount val="1"/>
                <c:pt idx="0">
                  <c:v>SG&amp;A as % of net sales</c:v>
                </c:pt>
              </c:strCache>
            </c:strRef>
          </c:tx>
          <c:spPr>
            <a:ln w="28575" cap="rnd">
              <a:solidFill>
                <a:schemeClr val="accent1"/>
              </a:solidFill>
              <a:round/>
            </a:ln>
            <a:effectLst/>
          </c:spPr>
          <c:marker>
            <c:symbol val="none"/>
          </c:marker>
          <c:cat>
            <c:numRef>
              <c:f>'Operating Summary &amp; Stats'!$B$4:$V$4</c:f>
              <c:numCache>
                <c:formatCode>m/d/yy</c:formatCode>
                <c:ptCount val="21"/>
                <c:pt idx="0">
                  <c:v>44801</c:v>
                </c:pt>
                <c:pt idx="1">
                  <c:v>44437</c:v>
                </c:pt>
                <c:pt idx="2">
                  <c:v>44073</c:v>
                </c:pt>
                <c:pt idx="3">
                  <c:v>43709</c:v>
                </c:pt>
                <c:pt idx="4">
                  <c:v>43345</c:v>
                </c:pt>
                <c:pt idx="5">
                  <c:v>42981</c:v>
                </c:pt>
                <c:pt idx="6">
                  <c:v>42610</c:v>
                </c:pt>
                <c:pt idx="7">
                  <c:v>42246</c:v>
                </c:pt>
                <c:pt idx="8">
                  <c:v>41882</c:v>
                </c:pt>
                <c:pt idx="9">
                  <c:v>41518</c:v>
                </c:pt>
                <c:pt idx="10">
                  <c:v>41154</c:v>
                </c:pt>
                <c:pt idx="11">
                  <c:v>40783</c:v>
                </c:pt>
                <c:pt idx="12">
                  <c:v>40419</c:v>
                </c:pt>
                <c:pt idx="13">
                  <c:v>40055</c:v>
                </c:pt>
                <c:pt idx="14">
                  <c:v>39691</c:v>
                </c:pt>
                <c:pt idx="15">
                  <c:v>39327</c:v>
                </c:pt>
                <c:pt idx="16">
                  <c:v>38963</c:v>
                </c:pt>
                <c:pt idx="17">
                  <c:v>38589</c:v>
                </c:pt>
                <c:pt idx="18">
                  <c:v>38228</c:v>
                </c:pt>
                <c:pt idx="19">
                  <c:v>37864</c:v>
                </c:pt>
                <c:pt idx="20">
                  <c:v>37500</c:v>
                </c:pt>
              </c:numCache>
            </c:numRef>
          </c:cat>
          <c:val>
            <c:numRef>
              <c:f>'Operating Summary &amp; Stats'!$B$34:$V$34</c:f>
              <c:numCache>
                <c:formatCode>0.00%</c:formatCode>
                <c:ptCount val="21"/>
                <c:pt idx="0">
                  <c:v>8.8802586090782565E-2</c:v>
                </c:pt>
                <c:pt idx="1">
                  <c:v>9.6125007810384688E-2</c:v>
                </c:pt>
                <c:pt idx="2">
                  <c:v>0.10006126700159294</c:v>
                </c:pt>
                <c:pt idx="3">
                  <c:v>0.10039437298712429</c:v>
                </c:pt>
                <c:pt idx="4">
                  <c:v>0.10023549128104367</c:v>
                </c:pt>
                <c:pt idx="5">
                  <c:v>0.10263766921345464</c:v>
                </c:pt>
                <c:pt idx="6">
                  <c:v>0.10396905395742334</c:v>
                </c:pt>
                <c:pt idx="7">
                  <c:v>0.1006897401157778</c:v>
                </c:pt>
                <c:pt idx="8">
                  <c:v>9.8891227815482888E-2</c:v>
                </c:pt>
                <c:pt idx="9">
                  <c:v>9.8221055701370658E-2</c:v>
                </c:pt>
                <c:pt idx="10">
                  <c:v>9.8061033154066474E-2</c:v>
                </c:pt>
                <c:pt idx="11">
                  <c:v>9.9738075544527155E-2</c:v>
                </c:pt>
                <c:pt idx="12">
                  <c:v>0.10281293029965248</c:v>
                </c:pt>
                <c:pt idx="13">
                  <c:v>0.10376454091487931</c:v>
                </c:pt>
                <c:pt idx="14">
                  <c:v>9.7971970942221626E-2</c:v>
                </c:pt>
                <c:pt idx="15">
                  <c:v>9.9434689234735668E-2</c:v>
                </c:pt>
                <c:pt idx="16">
                  <c:v>9.7215601329507656E-2</c:v>
                </c:pt>
                <c:pt idx="17">
                  <c:v>9.7560326351262661E-2</c:v>
                </c:pt>
                <c:pt idx="18">
                  <c:v>9.7580614595627571E-2</c:v>
                </c:pt>
                <c:pt idx="19">
                  <c:v>9.82761514192209E-2</c:v>
                </c:pt>
                <c:pt idx="20">
                  <c:v>9.4110158391158091E-2</c:v>
                </c:pt>
              </c:numCache>
            </c:numRef>
          </c:val>
          <c:smooth val="0"/>
          <c:extLst>
            <c:ext xmlns:c16="http://schemas.microsoft.com/office/drawing/2014/chart" uri="{C3380CC4-5D6E-409C-BE32-E72D297353CC}">
              <c16:uniqueId val="{00000000-3AFB-D049-9145-12F7707FB4F2}"/>
            </c:ext>
          </c:extLst>
        </c:ser>
        <c:dLbls>
          <c:showLegendKey val="0"/>
          <c:showVal val="0"/>
          <c:showCatName val="0"/>
          <c:showSerName val="0"/>
          <c:showPercent val="0"/>
          <c:showBubbleSize val="0"/>
        </c:dLbls>
        <c:smooth val="0"/>
        <c:axId val="961884768"/>
        <c:axId val="960024704"/>
      </c:lineChart>
      <c:dateAx>
        <c:axId val="961884768"/>
        <c:scaling>
          <c:orientation val="minMax"/>
          <c:max val="44926"/>
        </c:scaling>
        <c:delete val="0"/>
        <c:axPos val="b"/>
        <c:numFmt formatCode="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960024704"/>
        <c:crosses val="autoZero"/>
        <c:auto val="1"/>
        <c:lblOffset val="100"/>
        <c:baseTimeUnit val="months"/>
        <c:majorUnit val="12"/>
        <c:majorTimeUnit val="months"/>
      </c:dateAx>
      <c:valAx>
        <c:axId val="96002470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9618847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'Balance Sheet'!$A$61</c:f>
              <c:strCache>
                <c:ptCount val="1"/>
                <c:pt idx="0">
                  <c:v>Inventory Turnover</c:v>
                </c:pt>
              </c:strCache>
            </c:strRef>
          </c:tx>
          <c:spPr>
            <a:ln w="28575" cap="rnd">
              <a:solidFill>
                <a:schemeClr val="accent1"/>
              </a:solidFill>
              <a:round/>
            </a:ln>
            <a:effectLst/>
          </c:spPr>
          <c:marker>
            <c:symbol val="none"/>
          </c:marker>
          <c:cat>
            <c:numRef>
              <c:f>'Balance Sheet'!$B$4:$U$4</c:f>
              <c:numCache>
                <c:formatCode>General</c:formatCode>
                <c:ptCount val="2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numCache>
            </c:numRef>
          </c:cat>
          <c:val>
            <c:numRef>
              <c:f>'Balance Sheet'!$B$61:$U$61</c:f>
              <c:numCache>
                <c:formatCode>_(* #,##0.0_);_(* \(#,##0.0\);_(* "-"??_);_(@_)</c:formatCode>
                <c:ptCount val="20"/>
                <c:pt idx="0">
                  <c:v>12.414046447917315</c:v>
                </c:pt>
                <c:pt idx="1">
                  <c:v>12.902747855010016</c:v>
                </c:pt>
                <c:pt idx="2">
                  <c:v>12.263739053179338</c:v>
                </c:pt>
                <c:pt idx="3">
                  <c:v>11.846311566748383</c:v>
                </c:pt>
                <c:pt idx="4">
                  <c:v>11.799559260323848</c:v>
                </c:pt>
                <c:pt idx="5">
                  <c:v>11.900441418922512</c:v>
                </c:pt>
                <c:pt idx="6">
                  <c:v>11.512110533087206</c:v>
                </c:pt>
                <c:pt idx="7">
                  <c:v>11.640750979037088</c:v>
                </c:pt>
                <c:pt idx="8">
                  <c:v>12.043792048929664</c:v>
                </c:pt>
                <c:pt idx="9">
                  <c:v>12.267911941294196</c:v>
                </c:pt>
                <c:pt idx="10">
                  <c:v>12.643512450851901</c:v>
                </c:pt>
                <c:pt idx="11">
                  <c:v>12.665200391006843</c:v>
                </c:pt>
                <c:pt idx="12">
                  <c:v>12.314588427057865</c:v>
                </c:pt>
                <c:pt idx="13">
                  <c:v>11.936997319034852</c:v>
                </c:pt>
                <c:pt idx="14">
                  <c:v>12.804955202241477</c:v>
                </c:pt>
                <c:pt idx="15">
                  <c:v>11.958799652186697</c:v>
                </c:pt>
                <c:pt idx="16">
                  <c:v>12.300821216961751</c:v>
                </c:pt>
                <c:pt idx="17">
                  <c:v>12.103745695510902</c:v>
                </c:pt>
                <c:pt idx="18">
                  <c:v>12.055545650566598</c:v>
                </c:pt>
                <c:pt idx="19">
                  <c:v>11.516129296641894</c:v>
                </c:pt>
              </c:numCache>
            </c:numRef>
          </c:val>
          <c:smooth val="0"/>
          <c:extLst>
            <c:ext xmlns:c16="http://schemas.microsoft.com/office/drawing/2014/chart" uri="{C3380CC4-5D6E-409C-BE32-E72D297353CC}">
              <c16:uniqueId val="{00000000-F506-8742-B4ED-3D834CA94885}"/>
            </c:ext>
          </c:extLst>
        </c:ser>
        <c:dLbls>
          <c:showLegendKey val="0"/>
          <c:showVal val="0"/>
          <c:showCatName val="0"/>
          <c:showSerName val="0"/>
          <c:showPercent val="0"/>
          <c:showBubbleSize val="0"/>
        </c:dLbls>
        <c:smooth val="0"/>
        <c:axId val="1162235391"/>
        <c:axId val="1162235791"/>
      </c:lineChart>
      <c:catAx>
        <c:axId val="1162235391"/>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1162235791"/>
        <c:crosses val="autoZero"/>
        <c:auto val="1"/>
        <c:lblAlgn val="ctr"/>
        <c:lblOffset val="100"/>
        <c:noMultiLvlLbl val="0"/>
      </c:catAx>
      <c:valAx>
        <c:axId val="1162235791"/>
        <c:scaling>
          <c:orientation val="minMax"/>
          <c:max val="13"/>
          <c:min val="11"/>
        </c:scaling>
        <c:delete val="0"/>
        <c:axPos val="r"/>
        <c:majorGridlines>
          <c:spPr>
            <a:ln w="9525" cap="flat" cmpd="sng" algn="ctr">
              <a:solidFill>
                <a:schemeClr val="tx1">
                  <a:lumMod val="15000"/>
                  <a:lumOff val="85000"/>
                </a:schemeClr>
              </a:solidFill>
              <a:round/>
            </a:ln>
            <a:effectLst/>
          </c:spPr>
        </c:majorGridlines>
        <c:numFmt formatCode="_(* #,##0.0_);_(* \(#,##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116223539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Accounts Payable to Inventory Ratio</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'Balance Sheet'!$A$60</c:f>
              <c:strCache>
                <c:ptCount val="1"/>
                <c:pt idx="0">
                  <c:v>Payables to Inventory Ratio</c:v>
                </c:pt>
              </c:strCache>
            </c:strRef>
          </c:tx>
          <c:spPr>
            <a:ln w="28575" cap="rnd">
              <a:solidFill>
                <a:schemeClr val="accent1"/>
              </a:solidFill>
              <a:round/>
            </a:ln>
            <a:effectLst/>
          </c:spPr>
          <c:marker>
            <c:symbol val="none"/>
          </c:marker>
          <c:cat>
            <c:numRef>
              <c:f>'Balance Sheet'!$B$4:$V$4</c:f>
              <c:numCache>
                <c:formatCode>General</c:formatCode>
                <c:ptCount val="21"/>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numCache>
            </c:numRef>
          </c:cat>
          <c:val>
            <c:numRef>
              <c:f>'Balance Sheet'!$B$60:$V$60</c:f>
              <c:numCache>
                <c:formatCode>0%</c:formatCode>
                <c:ptCount val="21"/>
                <c:pt idx="0">
                  <c:v>0.996705199084157</c:v>
                </c:pt>
                <c:pt idx="1">
                  <c:v>1.1451283855082659</c:v>
                </c:pt>
                <c:pt idx="2">
                  <c:v>1.1576539781081523</c:v>
                </c:pt>
                <c:pt idx="3">
                  <c:v>1.0249232119350593</c:v>
                </c:pt>
                <c:pt idx="4">
                  <c:v>1.0178442028985508</c:v>
                </c:pt>
                <c:pt idx="5">
                  <c:v>0.97701850721984951</c:v>
                </c:pt>
                <c:pt idx="6">
                  <c:v>0.84870108150295465</c:v>
                </c:pt>
                <c:pt idx="7">
                  <c:v>1.0115626403233049</c:v>
                </c:pt>
                <c:pt idx="8">
                  <c:v>1.0041390728476822</c:v>
                </c:pt>
                <c:pt idx="9">
                  <c:v>0.99721307322016717</c:v>
                </c:pt>
                <c:pt idx="10">
                  <c:v>1.0291713641488163</c:v>
                </c:pt>
                <c:pt idx="11">
                  <c:v>0.98583910816511</c:v>
                </c:pt>
                <c:pt idx="12">
                  <c:v>1.0548066690315714</c:v>
                </c:pt>
                <c:pt idx="13">
                  <c:v>1.0083256244218317</c:v>
                </c:pt>
                <c:pt idx="14">
                  <c:v>1.0369120857312959</c:v>
                </c:pt>
                <c:pt idx="15">
                  <c:v>1.0503180164218822</c:v>
                </c:pt>
                <c:pt idx="16">
                  <c:v>1.0044205162114097</c:v>
                </c:pt>
                <c:pt idx="17">
                  <c:v>1.0523020530306257</c:v>
                </c:pt>
                <c:pt idx="18">
                  <c:v>0.98809277126785833</c:v>
                </c:pt>
                <c:pt idx="19">
                  <c:v>0.93768154306665696</c:v>
                </c:pt>
                <c:pt idx="20">
                  <c:v>0.9223105754278319</c:v>
                </c:pt>
              </c:numCache>
            </c:numRef>
          </c:val>
          <c:smooth val="0"/>
          <c:extLst>
            <c:ext xmlns:c16="http://schemas.microsoft.com/office/drawing/2014/chart" uri="{C3380CC4-5D6E-409C-BE32-E72D297353CC}">
              <c16:uniqueId val="{00000000-F815-4A4E-9463-FD0FA25CD0B3}"/>
            </c:ext>
          </c:extLst>
        </c:ser>
        <c:dLbls>
          <c:showLegendKey val="0"/>
          <c:showVal val="0"/>
          <c:showCatName val="0"/>
          <c:showSerName val="0"/>
          <c:showPercent val="0"/>
          <c:showBubbleSize val="0"/>
        </c:dLbls>
        <c:smooth val="0"/>
        <c:axId val="959030880"/>
        <c:axId val="959033376"/>
      </c:lineChart>
      <c:catAx>
        <c:axId val="959030880"/>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959033376"/>
        <c:crosses val="autoZero"/>
        <c:auto val="1"/>
        <c:lblAlgn val="ctr"/>
        <c:lblOffset val="100"/>
        <c:noMultiLvlLbl val="0"/>
      </c:catAx>
      <c:valAx>
        <c:axId val="959033376"/>
        <c:scaling>
          <c:orientation val="minMax"/>
          <c:max val="1.3"/>
          <c:min val="0.70000000000000007"/>
        </c:scaling>
        <c:delete val="0"/>
        <c:axPos val="r"/>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9590308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12700</xdr:colOff>
      <xdr:row>51</xdr:row>
      <xdr:rowOff>12700</xdr:rowOff>
    </xdr:to>
    <xdr:sp macro="" textlink="">
      <xdr:nvSpPr>
        <xdr:cNvPr id="2" name="TextBox 1">
          <a:extLst>
            <a:ext uri="{FF2B5EF4-FFF2-40B4-BE49-F238E27FC236}">
              <a16:creationId xmlns:a16="http://schemas.microsoft.com/office/drawing/2014/main" id="{D8085993-0472-8A4C-861D-415C133D6A6E}"/>
            </a:ext>
          </a:extLst>
        </xdr:cNvPr>
        <xdr:cNvSpPr txBox="1"/>
      </xdr:nvSpPr>
      <xdr:spPr>
        <a:xfrm>
          <a:off x="0" y="0"/>
          <a:ext cx="14046200" cy="1037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1" u="sng">
              <a:solidFill>
                <a:schemeClr val="dk1"/>
              </a:solidFill>
              <a:effectLst/>
              <a:latin typeface="+mn-lt"/>
              <a:ea typeface="+mn-ea"/>
              <a:cs typeface="+mn-cs"/>
            </a:rPr>
            <a:t>Costco Wholesale Corporation</a:t>
          </a:r>
        </a:p>
        <a:p>
          <a:endParaRPr lang="en-US" sz="1800" b="1" u="sng">
            <a:solidFill>
              <a:schemeClr val="dk1"/>
            </a:solidFill>
            <a:effectLst/>
            <a:latin typeface="+mn-lt"/>
            <a:ea typeface="+mn-ea"/>
            <a:cs typeface="+mn-cs"/>
          </a:endParaRPr>
        </a:p>
        <a:p>
          <a:r>
            <a:rPr lang="en-US" sz="1800" b="1" u="none">
              <a:solidFill>
                <a:schemeClr val="dk1"/>
              </a:solidFill>
              <a:effectLst/>
              <a:latin typeface="+mn-lt"/>
              <a:ea typeface="+mn-ea"/>
              <a:cs typeface="+mn-cs"/>
            </a:rPr>
            <a:t>October 25,</a:t>
          </a:r>
          <a:r>
            <a:rPr lang="en-US" sz="1800" b="1" u="none" baseline="0">
              <a:solidFill>
                <a:schemeClr val="dk1"/>
              </a:solidFill>
              <a:effectLst/>
              <a:latin typeface="+mn-lt"/>
              <a:ea typeface="+mn-ea"/>
              <a:cs typeface="+mn-cs"/>
            </a:rPr>
            <a:t> 2022</a:t>
          </a:r>
        </a:p>
        <a:p>
          <a:endParaRPr lang="en-US" sz="1800" b="1" u="none" baseline="0">
            <a:solidFill>
              <a:schemeClr val="dk1"/>
            </a:solidFill>
            <a:effectLst/>
            <a:latin typeface="+mn-lt"/>
            <a:ea typeface="+mn-ea"/>
            <a:cs typeface="+mn-cs"/>
          </a:endParaRPr>
        </a:p>
        <a:p>
          <a:r>
            <a:rPr lang="en-US" sz="1600" b="1" u="none" baseline="0">
              <a:solidFill>
                <a:schemeClr val="dk1"/>
              </a:solidFill>
              <a:effectLst/>
              <a:latin typeface="+mn-lt"/>
              <a:ea typeface="+mn-ea"/>
              <a:cs typeface="+mn-cs"/>
            </a:rPr>
            <a:t>TERMS OF USE</a:t>
          </a:r>
          <a:endParaRPr lang="en-US" sz="1600" b="1" u="none">
            <a:solidFill>
              <a:schemeClr val="dk1"/>
            </a:solidFill>
            <a:effectLst/>
            <a:latin typeface="+mn-lt"/>
            <a:ea typeface="+mn-ea"/>
            <a:cs typeface="+mn-cs"/>
          </a:endParaRPr>
        </a:p>
        <a:p>
          <a:endParaRPr lang="en-US" sz="1400" b="1">
            <a:solidFill>
              <a:schemeClr val="dk1"/>
            </a:solidFill>
            <a:effectLst/>
            <a:latin typeface="+mn-lt"/>
            <a:ea typeface="+mn-ea"/>
            <a:cs typeface="+mn-cs"/>
          </a:endParaRPr>
        </a:p>
        <a:p>
          <a:r>
            <a:rPr lang="en-US" sz="1400" b="1">
              <a:solidFill>
                <a:schemeClr val="dk1"/>
              </a:solidFill>
              <a:effectLst/>
              <a:latin typeface="+mn-lt"/>
              <a:ea typeface="+mn-ea"/>
              <a:cs typeface="+mn-cs"/>
            </a:rPr>
            <a:t>© Copyright 2022 by The Rational Walk LLC. All rights reserved. </a:t>
          </a:r>
        </a:p>
        <a:p>
          <a:endParaRPr lang="en-US" sz="1400"/>
        </a:p>
        <a:p>
          <a:r>
            <a:rPr lang="en-US" sz="1400" b="1">
              <a:solidFill>
                <a:schemeClr val="dk1"/>
              </a:solidFill>
              <a:effectLst/>
              <a:latin typeface="+mn-lt"/>
              <a:ea typeface="+mn-ea"/>
              <a:cs typeface="+mn-cs"/>
            </a:rPr>
            <a:t>This data contained in this spreadsheet is part of a series of business profiles published by The Rational Walk, LLC. </a:t>
          </a:r>
        </a:p>
        <a:p>
          <a:endParaRPr lang="en-US" sz="1400"/>
        </a:p>
        <a:p>
          <a:r>
            <a:rPr lang="en-US" sz="1400" b="1">
              <a:solidFill>
                <a:schemeClr val="dk1"/>
              </a:solidFill>
              <a:effectLst/>
              <a:latin typeface="+mn-lt"/>
              <a:ea typeface="+mn-ea"/>
              <a:cs typeface="+mn-cs"/>
            </a:rPr>
            <a:t>The purpose of a business profile is to provide readers with information regarding a company’s business model and financial results. Business profiles do not provide intrinsic value estimates regarding whether the securities related to the business are attractive investments. Reports are meant to provide background information for educational purposes. </a:t>
          </a:r>
        </a:p>
        <a:p>
          <a:endParaRPr lang="en-US" sz="1400"/>
        </a:p>
        <a:p>
          <a:r>
            <a:rPr lang="en-US" sz="1400">
              <a:solidFill>
                <a:schemeClr val="dk1"/>
              </a:solidFill>
              <a:effectLst/>
              <a:latin typeface="+mn-lt"/>
              <a:ea typeface="+mn-ea"/>
              <a:cs typeface="+mn-cs"/>
            </a:rPr>
            <a:t>The Rational Walk LLC is not a registered investment advisor. Please consult with your own investment advisor before buying or selling any securities discussed in this report. This report is not investment advice nor is it a recommendation to buy or sell securities. Past performance of securities discussed in this report is not a good indication of future performance.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All content is strictly protected by United States copyright laws. Unlawful reproduction is prohibited. This publication may not be photocopied, electronically redistributed, or quoted without written permission, expect for brief quotations in compliance with the fair use doctrine when accompanied by an acknowledgement of the original source.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The information contained in this report is based on sources considered to be reliable, but no guarantees are made regarding accuracy. No warranties are given as to the accuracy or completeness of this analysis. All links to internet sites listed in this publication were valid at the time of publication but may change or become invalid in the future. No assurance can be given regarding the reliability of data contained on these websites. </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Note that data in this spreadsheet has been hand entered into Excel from SEC filings and other sources. I do this to gain</a:t>
          </a:r>
          <a:r>
            <a:rPr lang="en-US" sz="1400" baseline="0">
              <a:solidFill>
                <a:schemeClr val="dk1"/>
              </a:solidFill>
              <a:effectLst/>
              <a:latin typeface="+mn-lt"/>
              <a:ea typeface="+mn-ea"/>
              <a:cs typeface="+mn-cs"/>
            </a:rPr>
            <a:t> a better understanding of the company, but hand entering data comes with the risk of error. Although I endeavor to check the data multiple times to increase accuracy, no assurances can be provided that the spreadsheet is free from error.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Opinion and conclusions contained within this report are effective at the date of the report and future circumstances could cause the publisher of the report to arrive at different conclusions. No duty whatsoever exists to provide updates to readers of this report at a later date if future developments change the publisher’s opinions or conclusions. </a:t>
          </a:r>
        </a:p>
        <a:p>
          <a:endParaRPr lang="en-US" sz="1400"/>
        </a:p>
        <a:p>
          <a:r>
            <a:rPr lang="en-US" sz="1400">
              <a:solidFill>
                <a:schemeClr val="dk1"/>
              </a:solidFill>
              <a:effectLst/>
              <a:latin typeface="+mn-lt"/>
              <a:ea typeface="+mn-ea"/>
              <a:cs typeface="+mn-cs"/>
            </a:rPr>
            <a:t>At the date of this report, individuals associated with The Rational Walk LLC does not own shares of Costco Wholesale Corporation but</a:t>
          </a:r>
          <a:r>
            <a:rPr lang="en-US" sz="1400" baseline="0">
              <a:solidFill>
                <a:schemeClr val="dk1"/>
              </a:solidFill>
              <a:effectLst/>
              <a:latin typeface="+mn-lt"/>
              <a:ea typeface="+mn-ea"/>
              <a:cs typeface="+mn-cs"/>
            </a:rPr>
            <a:t> m</a:t>
          </a:r>
          <a:r>
            <a:rPr lang="en-US" sz="1400">
              <a:solidFill>
                <a:schemeClr val="dk1"/>
              </a:solidFill>
              <a:effectLst/>
              <a:latin typeface="+mn-lt"/>
              <a:ea typeface="+mn-ea"/>
              <a:cs typeface="+mn-cs"/>
            </a:rPr>
            <a:t>ay buy or sell shares at any time, in any quantity, and for any reason without any disclosure to readers of this report. </a:t>
          </a:r>
          <a:endParaRPr lang="en-US" sz="1400"/>
        </a:p>
        <a:p>
          <a:endParaRPr lang="en-US" sz="1400" b="1">
            <a:solidFill>
              <a:schemeClr val="dk1"/>
            </a:solidFill>
            <a:effectLst/>
            <a:latin typeface="+mn-lt"/>
            <a:ea typeface="+mn-ea"/>
            <a:cs typeface="+mn-cs"/>
          </a:endParaRPr>
        </a:p>
        <a:p>
          <a:r>
            <a:rPr lang="en-US" sz="1400" b="1">
              <a:solidFill>
                <a:schemeClr val="dk1"/>
              </a:solidFill>
              <a:effectLst/>
              <a:latin typeface="+mn-lt"/>
              <a:ea typeface="+mn-ea"/>
              <a:cs typeface="+mn-cs"/>
            </a:rPr>
            <a:t>The Rational Walk </a:t>
          </a:r>
          <a:r>
            <a:rPr lang="en-US" sz="1400">
              <a:solidFill>
                <a:schemeClr val="dk1"/>
              </a:solidFill>
              <a:effectLst/>
              <a:latin typeface="+mn-lt"/>
              <a:ea typeface="+mn-ea"/>
              <a:cs typeface="+mn-cs"/>
            </a:rPr>
            <a:t>was founded in 2009. Over a thousand articles have been published over the past thirteen years primarily on topics related to investing and personal finance. In addition, over one hundred books have been reviewed over the years. The Rational Walk’s extensive coverage of Berkshire Hathaway has been mentioned in several news articles. The Rational Walk website and full archive may be accessed at rationalwalk.com. </a:t>
          </a:r>
          <a:endParaRPr lang="en-US" sz="1400"/>
        </a:p>
        <a:p>
          <a:endParaRPr lang="en-US" sz="1400"/>
        </a:p>
        <a:p>
          <a:r>
            <a:rPr lang="en-US" sz="1400" b="1">
              <a:solidFill>
                <a:schemeClr val="dk1"/>
              </a:solidFill>
              <a:effectLst/>
              <a:latin typeface="+mn-lt"/>
              <a:ea typeface="+mn-ea"/>
              <a:cs typeface="+mn-cs"/>
            </a:rPr>
            <a:t>Rational Reflections </a:t>
          </a:r>
          <a:r>
            <a:rPr lang="en-US" sz="1400">
              <a:solidFill>
                <a:schemeClr val="dk1"/>
              </a:solidFill>
              <a:effectLst/>
              <a:latin typeface="+mn-lt"/>
              <a:ea typeface="+mn-ea"/>
              <a:cs typeface="+mn-cs"/>
            </a:rPr>
            <a:t>is a newsletter published by The Rational Walk LLC. The Weekly Digest contains original content and curated links to articles, podcasts, videos, and other content with a high signal-to-noise ratio. Weekly Digest is free. In addition, Rational Reflections publishes profiles of businesses which are distributed to paying subscribers. While there is no set publication schedule for business profiles, subscribers should expect to receive at least twelve profiles per year. </a:t>
          </a:r>
        </a:p>
        <a:p>
          <a:endParaRPr lang="en-US" sz="1400"/>
        </a:p>
        <a:p>
          <a:r>
            <a:rPr lang="en-US" sz="1400" b="1">
              <a:solidFill>
                <a:schemeClr val="dk1"/>
              </a:solidFill>
              <a:effectLst/>
              <a:latin typeface="+mn-lt"/>
              <a:ea typeface="+mn-ea"/>
              <a:cs typeface="+mn-cs"/>
            </a:rPr>
            <a:t>The subscription price for Rational Reflections is $10 per month or $120 per year. </a:t>
          </a:r>
          <a:r>
            <a:rPr lang="en-US" sz="1400">
              <a:solidFill>
                <a:schemeClr val="dk1"/>
              </a:solidFill>
              <a:effectLst/>
              <a:latin typeface="+mn-lt"/>
              <a:ea typeface="+mn-ea"/>
              <a:cs typeface="+mn-cs"/>
            </a:rPr>
            <a:t>Subscriptions are available for purchase at rationalreflections.substack.com/subscribe. Subscriptions are meant to be accessed by a single individual. Please do not redistribute this report or other subscriber-only materials to non-subscribers.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Please direct any inquiries regarding this publication to administrator@rationalwalk.com. </a:t>
          </a:r>
          <a:endParaRPr 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35</xdr:row>
      <xdr:rowOff>12700</xdr:rowOff>
    </xdr:from>
    <xdr:to>
      <xdr:col>16</xdr:col>
      <xdr:colOff>0</xdr:colOff>
      <xdr:row>39</xdr:row>
      <xdr:rowOff>0</xdr:rowOff>
    </xdr:to>
    <xdr:sp macro="" textlink="">
      <xdr:nvSpPr>
        <xdr:cNvPr id="2" name="TextBox 1">
          <a:extLst>
            <a:ext uri="{FF2B5EF4-FFF2-40B4-BE49-F238E27FC236}">
              <a16:creationId xmlns:a16="http://schemas.microsoft.com/office/drawing/2014/main" id="{D73B323D-CFBA-7BAC-AEB8-C9B4B2E82FD2}"/>
            </a:ext>
          </a:extLst>
        </xdr:cNvPr>
        <xdr:cNvSpPr txBox="1"/>
      </xdr:nvSpPr>
      <xdr:spPr>
        <a:xfrm>
          <a:off x="4508500" y="8064500"/>
          <a:ext cx="116078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NOTES</a:t>
          </a:r>
        </a:p>
        <a:p>
          <a:pPr marL="0" marR="0" lvl="0" indent="0" defTabSz="914400" eaLnBrk="1" fontAlgn="auto" latinLnBrk="0" hangingPunct="1">
            <a:lnSpc>
              <a:spcPct val="100000"/>
            </a:lnSpc>
            <a:spcBef>
              <a:spcPts val="0"/>
            </a:spcBef>
            <a:spcAft>
              <a:spcPts val="0"/>
            </a:spcAft>
            <a:buClrTx/>
            <a:buSzTx/>
            <a:buFontTx/>
            <a:buNone/>
            <a:tabLst/>
            <a:defRPr/>
          </a:pPr>
          <a:r>
            <a:rPr lang="en-US" sz="1100"/>
            <a:t>(1)</a:t>
          </a:r>
          <a:r>
            <a:rPr lang="en-US" sz="1100" baseline="0"/>
            <a:t> </a:t>
          </a:r>
          <a:r>
            <a:rPr lang="en-US" sz="1100"/>
            <a:t>Preopening expenses no longer broken out or disclosed starting in FY22. SG&amp;A as % of net sales includes preopening costs in FY22 but excludes preopening costs in prior years, as originally reported</a:t>
          </a:r>
        </a:p>
        <a:p>
          <a:r>
            <a:rPr lang="en-US" sz="1100" baseline="0"/>
            <a:t>      </a:t>
          </a:r>
          <a:r>
            <a:rPr lang="en-US" sz="1100"/>
            <a:t>See Q2 FY22 conference call: "Starting this fiscal year, going forward, preopening is now included in SG&amp;A." (3/3/22) https://roic.ai/transcripts/COST?y=2022&amp;q=2</a:t>
          </a:r>
        </a:p>
        <a:p>
          <a:r>
            <a:rPr lang="en-US" sz="1100"/>
            <a:t>(2) Fiscal years ending on 9/3/17, 9/2/2012, and 9/3/2006 were 53 weeks</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1473200</xdr:colOff>
      <xdr:row>95</xdr:row>
      <xdr:rowOff>0</xdr:rowOff>
    </xdr:from>
    <xdr:to>
      <xdr:col>1</xdr:col>
      <xdr:colOff>0</xdr:colOff>
      <xdr:row>99</xdr:row>
      <xdr:rowOff>12700</xdr:rowOff>
    </xdr:to>
    <xdr:sp macro="" textlink="">
      <xdr:nvSpPr>
        <xdr:cNvPr id="2" name="TextBox 1">
          <a:extLst>
            <a:ext uri="{FF2B5EF4-FFF2-40B4-BE49-F238E27FC236}">
              <a16:creationId xmlns:a16="http://schemas.microsoft.com/office/drawing/2014/main" id="{A6F8C6AB-60FF-9E03-3BB1-CC8152EA56AC}"/>
            </a:ext>
          </a:extLst>
        </xdr:cNvPr>
        <xdr:cNvSpPr txBox="1"/>
      </xdr:nvSpPr>
      <xdr:spPr>
        <a:xfrm>
          <a:off x="1473200" y="23190200"/>
          <a:ext cx="4089400" cy="977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data here may not be meaningful because we are dividing TOTAL capex for the year by the number of net new warehouses by region. TOTAL capex includes not only costs for new warehouses but spending on existing warehouses as well. With this caveat, I will leave the presentation here as a crude indicator.</a:t>
          </a:r>
          <a:endParaRPr lang="en-US" sz="1100"/>
        </a:p>
      </xdr:txBody>
    </xdr:sp>
    <xdr:clientData/>
  </xdr:twoCellAnchor>
  <xdr:twoCellAnchor>
    <xdr:from>
      <xdr:col>0</xdr:col>
      <xdr:colOff>1473200</xdr:colOff>
      <xdr:row>83</xdr:row>
      <xdr:rowOff>25400</xdr:rowOff>
    </xdr:from>
    <xdr:to>
      <xdr:col>1</xdr:col>
      <xdr:colOff>0</xdr:colOff>
      <xdr:row>87</xdr:row>
      <xdr:rowOff>203200</xdr:rowOff>
    </xdr:to>
    <xdr:sp macro="" textlink="">
      <xdr:nvSpPr>
        <xdr:cNvPr id="4" name="TextBox 3">
          <a:extLst>
            <a:ext uri="{FF2B5EF4-FFF2-40B4-BE49-F238E27FC236}">
              <a16:creationId xmlns:a16="http://schemas.microsoft.com/office/drawing/2014/main" id="{E74F8C3D-1A20-F372-FACB-BE1D8FD305E7}"/>
            </a:ext>
          </a:extLst>
        </xdr:cNvPr>
        <xdr:cNvSpPr txBox="1"/>
      </xdr:nvSpPr>
      <xdr:spPr>
        <a:xfrm>
          <a:off x="1473200" y="20294600"/>
          <a:ext cx="4089400"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presentation</a:t>
          </a:r>
          <a:r>
            <a:rPr lang="en-US" sz="1100" baseline="0"/>
            <a:t> simply takes operating income by regional segment divided by assets by regional segment. NOTE: Some United States assets are attributable to management of the entire enterprise rather than just to warehouses in the United States. Therefore, this metric is likely understated for the U.S. as a measure of U.S. warehouse productivity.</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450850</xdr:colOff>
      <xdr:row>25</xdr:row>
      <xdr:rowOff>88900</xdr:rowOff>
    </xdr:to>
    <xdr:graphicFrame macro="">
      <xdr:nvGraphicFramePr>
        <xdr:cNvPr id="2" name="Chart 1">
          <a:extLst>
            <a:ext uri="{FF2B5EF4-FFF2-40B4-BE49-F238E27FC236}">
              <a16:creationId xmlns:a16="http://schemas.microsoft.com/office/drawing/2014/main" id="{85957F54-AF6E-BB47-8EB8-D1BF5967AD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25</xdr:row>
      <xdr:rowOff>88900</xdr:rowOff>
    </xdr:from>
    <xdr:to>
      <xdr:col>10</xdr:col>
      <xdr:colOff>450850</xdr:colOff>
      <xdr:row>52</xdr:row>
      <xdr:rowOff>38100</xdr:rowOff>
    </xdr:to>
    <xdr:graphicFrame macro="">
      <xdr:nvGraphicFramePr>
        <xdr:cNvPr id="3" name="Chart 2">
          <a:extLst>
            <a:ext uri="{FF2B5EF4-FFF2-40B4-BE49-F238E27FC236}">
              <a16:creationId xmlns:a16="http://schemas.microsoft.com/office/drawing/2014/main" id="{EB1A5A80-4CC8-B847-874B-6D56CA91A7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431800</xdr:colOff>
      <xdr:row>0</xdr:row>
      <xdr:rowOff>0</xdr:rowOff>
    </xdr:from>
    <xdr:to>
      <xdr:col>22</xdr:col>
      <xdr:colOff>781050</xdr:colOff>
      <xdr:row>25</xdr:row>
      <xdr:rowOff>114300</xdr:rowOff>
    </xdr:to>
    <xdr:graphicFrame macro="">
      <xdr:nvGraphicFramePr>
        <xdr:cNvPr id="4" name="Chart 3">
          <a:extLst>
            <a:ext uri="{FF2B5EF4-FFF2-40B4-BE49-F238E27FC236}">
              <a16:creationId xmlns:a16="http://schemas.microsoft.com/office/drawing/2014/main" id="{F0A3D178-C0E3-D94D-9BE5-73A2F4988E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457200</xdr:colOff>
      <xdr:row>25</xdr:row>
      <xdr:rowOff>114300</xdr:rowOff>
    </xdr:from>
    <xdr:to>
      <xdr:col>22</xdr:col>
      <xdr:colOff>787400</xdr:colOff>
      <xdr:row>52</xdr:row>
      <xdr:rowOff>50800</xdr:rowOff>
    </xdr:to>
    <xdr:graphicFrame macro="">
      <xdr:nvGraphicFramePr>
        <xdr:cNvPr id="5" name="Chart 4">
          <a:extLst>
            <a:ext uri="{FF2B5EF4-FFF2-40B4-BE49-F238E27FC236}">
              <a16:creationId xmlns:a16="http://schemas.microsoft.com/office/drawing/2014/main" id="{BD0CBF3F-B65F-5F40-AC37-67FBD7E262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BE346-D36D-794A-AED7-2B489A7811D8}">
  <dimension ref="A1"/>
  <sheetViews>
    <sheetView tabSelected="1" workbookViewId="0">
      <selection activeCell="H56" sqref="H56"/>
    </sheetView>
  </sheetViews>
  <sheetFormatPr baseColWidth="10" defaultRowHeight="16" x14ac:dyDescent="0.2"/>
  <cols>
    <col min="1" max="16384" width="10.83203125" style="107"/>
  </cols>
  <sheetData/>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5"/>
  <sheetViews>
    <sheetView zoomScaleNormal="100" workbookViewId="0">
      <selection sqref="A1:C1"/>
    </sheetView>
  </sheetViews>
  <sheetFormatPr baseColWidth="10" defaultColWidth="9.1640625" defaultRowHeight="19" x14ac:dyDescent="0.25"/>
  <cols>
    <col min="1" max="1" width="48.5" style="1" bestFit="1" customWidth="1"/>
    <col min="2" max="9" width="9.33203125" style="1" customWidth="1"/>
    <col min="10" max="10" width="9.33203125" style="8" customWidth="1"/>
    <col min="11" max="12" width="9.33203125" style="1" customWidth="1"/>
    <col min="13" max="22" width="10.33203125" style="1" customWidth="1"/>
    <col min="23" max="16384" width="9.1640625" style="1"/>
  </cols>
  <sheetData>
    <row r="1" spans="1:22" ht="24" x14ac:dyDescent="0.3">
      <c r="A1" s="86" t="s">
        <v>281</v>
      </c>
      <c r="B1" s="86"/>
      <c r="C1" s="86"/>
    </row>
    <row r="2" spans="1:22" x14ac:dyDescent="0.25">
      <c r="A2" s="22" t="s">
        <v>278</v>
      </c>
    </row>
    <row r="3" spans="1:22" ht="19" customHeight="1" x14ac:dyDescent="0.25">
      <c r="A3" s="24"/>
      <c r="B3" s="84" t="s">
        <v>9</v>
      </c>
      <c r="C3" s="84"/>
      <c r="D3" s="84"/>
      <c r="E3" s="84"/>
      <c r="F3" s="84"/>
      <c r="G3" s="84"/>
      <c r="H3" s="84"/>
      <c r="I3" s="84"/>
      <c r="J3" s="84"/>
      <c r="K3" s="84"/>
      <c r="L3" s="84"/>
      <c r="M3" s="84"/>
      <c r="N3" s="84"/>
      <c r="O3" s="84"/>
      <c r="P3" s="84"/>
      <c r="Q3" s="84"/>
      <c r="R3" s="84"/>
      <c r="S3" s="84"/>
      <c r="T3" s="84"/>
      <c r="U3" s="84"/>
      <c r="V3" s="84"/>
    </row>
    <row r="4" spans="1:22" x14ac:dyDescent="0.25">
      <c r="A4" s="24"/>
      <c r="B4" s="3">
        <v>2022</v>
      </c>
      <c r="C4" s="3">
        <v>2021</v>
      </c>
      <c r="D4" s="3">
        <v>2020</v>
      </c>
      <c r="E4" s="3">
        <v>2019</v>
      </c>
      <c r="F4" s="3">
        <v>2018</v>
      </c>
      <c r="G4" s="3">
        <v>2017</v>
      </c>
      <c r="H4" s="3">
        <v>2016</v>
      </c>
      <c r="I4" s="3">
        <v>2015</v>
      </c>
      <c r="J4" s="4">
        <v>2014</v>
      </c>
      <c r="K4" s="3">
        <v>2013</v>
      </c>
      <c r="L4" s="3">
        <v>2012</v>
      </c>
      <c r="M4" s="3">
        <v>2011</v>
      </c>
      <c r="N4" s="3">
        <v>2010</v>
      </c>
      <c r="O4" s="3">
        <v>2009</v>
      </c>
      <c r="P4" s="3">
        <v>2008</v>
      </c>
      <c r="Q4" s="3">
        <v>2007</v>
      </c>
      <c r="R4" s="3">
        <v>2006</v>
      </c>
      <c r="S4" s="3">
        <v>2005</v>
      </c>
      <c r="T4" s="3">
        <v>2004</v>
      </c>
      <c r="U4" s="3">
        <v>2003</v>
      </c>
      <c r="V4" s="3">
        <v>2002</v>
      </c>
    </row>
    <row r="5" spans="1:22" s="6" customFormat="1" x14ac:dyDescent="0.25">
      <c r="A5" s="23" t="s">
        <v>17</v>
      </c>
      <c r="B5" s="5">
        <v>44801</v>
      </c>
      <c r="C5" s="5">
        <v>44437</v>
      </c>
      <c r="D5" s="5">
        <v>44073</v>
      </c>
      <c r="E5" s="5">
        <v>43709</v>
      </c>
      <c r="F5" s="5">
        <v>43345</v>
      </c>
      <c r="G5" s="5">
        <v>42981</v>
      </c>
      <c r="H5" s="5">
        <v>42610</v>
      </c>
      <c r="I5" s="5">
        <v>42246</v>
      </c>
      <c r="J5" s="5">
        <v>41882</v>
      </c>
      <c r="K5" s="5">
        <v>41518</v>
      </c>
      <c r="L5" s="5">
        <v>41154</v>
      </c>
      <c r="M5" s="5">
        <v>40783</v>
      </c>
      <c r="N5" s="5">
        <v>40419</v>
      </c>
      <c r="O5" s="5">
        <v>40055</v>
      </c>
      <c r="P5" s="5">
        <v>39691</v>
      </c>
      <c r="Q5" s="5">
        <v>39327</v>
      </c>
      <c r="R5" s="5">
        <v>38963</v>
      </c>
      <c r="S5" s="5">
        <v>38592</v>
      </c>
      <c r="T5" s="5">
        <v>38228</v>
      </c>
      <c r="U5" s="5">
        <v>37864</v>
      </c>
      <c r="V5" s="5">
        <v>37500</v>
      </c>
    </row>
    <row r="6" spans="1:22" x14ac:dyDescent="0.25">
      <c r="A6" s="6" t="s">
        <v>0</v>
      </c>
      <c r="B6" s="9"/>
      <c r="C6" s="9"/>
      <c r="D6" s="9"/>
      <c r="E6" s="9"/>
      <c r="F6" s="9"/>
      <c r="G6" s="9"/>
      <c r="H6" s="9"/>
      <c r="I6" s="9"/>
      <c r="K6" s="9"/>
      <c r="L6" s="9"/>
    </row>
    <row r="7" spans="1:22" x14ac:dyDescent="0.25">
      <c r="A7" s="1" t="s">
        <v>23</v>
      </c>
      <c r="B7" s="9"/>
      <c r="C7" s="9"/>
      <c r="D7" s="9"/>
      <c r="E7" s="9"/>
      <c r="F7" s="9"/>
      <c r="G7" s="9"/>
      <c r="H7" s="9"/>
      <c r="I7" s="9"/>
      <c r="K7" s="9"/>
      <c r="L7" s="9"/>
    </row>
    <row r="8" spans="1:22" x14ac:dyDescent="0.25">
      <c r="A8" s="1" t="s">
        <v>1</v>
      </c>
      <c r="B8" s="9">
        <v>10203</v>
      </c>
      <c r="C8" s="9">
        <v>11258</v>
      </c>
      <c r="D8" s="9">
        <v>12277</v>
      </c>
      <c r="E8" s="9">
        <v>8384</v>
      </c>
      <c r="F8" s="9">
        <v>6055</v>
      </c>
      <c r="G8" s="9">
        <v>4546</v>
      </c>
      <c r="H8" s="9">
        <v>3379</v>
      </c>
      <c r="I8" s="9">
        <v>4801</v>
      </c>
      <c r="J8" s="8">
        <v>5738</v>
      </c>
      <c r="K8" s="9">
        <v>4644</v>
      </c>
      <c r="L8" s="9">
        <v>3528</v>
      </c>
      <c r="M8" s="9">
        <v>4009</v>
      </c>
      <c r="N8" s="9">
        <v>3214</v>
      </c>
      <c r="O8" s="9">
        <v>3157</v>
      </c>
      <c r="P8" s="9">
        <v>2619</v>
      </c>
      <c r="Q8" s="9">
        <v>2779.7330000000002</v>
      </c>
      <c r="R8" s="9">
        <v>1510.9390000000001</v>
      </c>
      <c r="S8" s="9">
        <v>2062.585</v>
      </c>
      <c r="T8" s="9">
        <v>2823.1350000000002</v>
      </c>
      <c r="U8" s="9">
        <v>1545.4390000000001</v>
      </c>
      <c r="V8" s="9">
        <v>805.51800000000003</v>
      </c>
    </row>
    <row r="9" spans="1:22" x14ac:dyDescent="0.25">
      <c r="A9" s="1" t="s">
        <v>24</v>
      </c>
      <c r="B9" s="9">
        <v>846</v>
      </c>
      <c r="C9" s="9">
        <v>917</v>
      </c>
      <c r="D9" s="9">
        <v>1028</v>
      </c>
      <c r="E9" s="9">
        <v>1060</v>
      </c>
      <c r="F9" s="9">
        <v>1204</v>
      </c>
      <c r="G9" s="9">
        <v>1233</v>
      </c>
      <c r="H9" s="9">
        <v>1350</v>
      </c>
      <c r="I9" s="9">
        <v>1618</v>
      </c>
      <c r="J9" s="8">
        <v>1577</v>
      </c>
      <c r="K9" s="9">
        <v>1480</v>
      </c>
      <c r="L9" s="9">
        <v>1326</v>
      </c>
      <c r="M9" s="9">
        <v>1604</v>
      </c>
      <c r="N9" s="9">
        <v>1535</v>
      </c>
      <c r="O9" s="9">
        <v>570</v>
      </c>
      <c r="P9" s="9">
        <v>656</v>
      </c>
      <c r="Q9" s="9">
        <v>575.78700000000003</v>
      </c>
      <c r="R9" s="9">
        <v>1322.181</v>
      </c>
      <c r="S9" s="9">
        <v>1397.2719999999999</v>
      </c>
      <c r="T9" s="9">
        <v>306.74700000000001</v>
      </c>
      <c r="U9" s="9">
        <v>0</v>
      </c>
      <c r="V9" s="9">
        <v>0</v>
      </c>
    </row>
    <row r="10" spans="1:22" x14ac:dyDescent="0.25">
      <c r="A10" s="1" t="s">
        <v>25</v>
      </c>
      <c r="B10" s="9">
        <v>2241</v>
      </c>
      <c r="C10" s="9">
        <v>1803</v>
      </c>
      <c r="D10" s="9">
        <v>1550</v>
      </c>
      <c r="E10" s="9">
        <v>1535</v>
      </c>
      <c r="F10" s="9">
        <v>1669</v>
      </c>
      <c r="G10" s="9">
        <v>1432</v>
      </c>
      <c r="H10" s="9">
        <v>1252</v>
      </c>
      <c r="I10" s="9">
        <v>1224</v>
      </c>
      <c r="J10" s="8">
        <v>1148</v>
      </c>
      <c r="K10" s="9">
        <v>1201</v>
      </c>
      <c r="L10" s="9">
        <v>1026</v>
      </c>
      <c r="M10" s="9">
        <v>965</v>
      </c>
      <c r="N10" s="9">
        <v>884</v>
      </c>
      <c r="O10" s="9">
        <v>834</v>
      </c>
      <c r="P10" s="9">
        <v>748</v>
      </c>
      <c r="Q10" s="9">
        <v>762.01700000000005</v>
      </c>
      <c r="R10" s="9">
        <v>565.37300000000005</v>
      </c>
      <c r="S10" s="9">
        <v>529.15</v>
      </c>
      <c r="T10" s="9">
        <v>335.17500000000001</v>
      </c>
      <c r="U10" s="9">
        <v>556.09</v>
      </c>
      <c r="V10" s="9">
        <v>474.86099999999999</v>
      </c>
    </row>
    <row r="11" spans="1:22" x14ac:dyDescent="0.25">
      <c r="A11" s="1" t="s">
        <v>26</v>
      </c>
      <c r="B11" s="9">
        <v>17907</v>
      </c>
      <c r="C11" s="9">
        <v>14215</v>
      </c>
      <c r="D11" s="9">
        <v>12242</v>
      </c>
      <c r="E11" s="9">
        <v>11395</v>
      </c>
      <c r="F11" s="9">
        <v>11040</v>
      </c>
      <c r="G11" s="9">
        <v>9834</v>
      </c>
      <c r="H11" s="9">
        <v>8969</v>
      </c>
      <c r="I11" s="9">
        <v>8908</v>
      </c>
      <c r="J11" s="8">
        <v>8456</v>
      </c>
      <c r="K11" s="9">
        <v>7894</v>
      </c>
      <c r="L11" s="9">
        <v>7096</v>
      </c>
      <c r="M11" s="9">
        <v>6638</v>
      </c>
      <c r="N11" s="9">
        <v>5638</v>
      </c>
      <c r="O11" s="9">
        <v>5405</v>
      </c>
      <c r="P11" s="9">
        <v>5039</v>
      </c>
      <c r="Q11" s="9">
        <v>4879.4650000000001</v>
      </c>
      <c r="R11" s="9">
        <v>4561.232</v>
      </c>
      <c r="S11" s="9">
        <v>4014.6990000000001</v>
      </c>
      <c r="T11" s="9">
        <v>3643.585</v>
      </c>
      <c r="U11" s="9">
        <v>3339.4279999999999</v>
      </c>
      <c r="V11" s="9">
        <v>3127.221</v>
      </c>
    </row>
    <row r="12" spans="1:22" x14ac:dyDescent="0.25">
      <c r="A12" s="1" t="s">
        <v>10</v>
      </c>
      <c r="B12" s="9">
        <v>1499</v>
      </c>
      <c r="C12" s="9">
        <v>1312</v>
      </c>
      <c r="D12" s="9">
        <v>1023</v>
      </c>
      <c r="E12" s="9">
        <v>1111</v>
      </c>
      <c r="F12" s="9">
        <v>321</v>
      </c>
      <c r="G12" s="9">
        <v>272</v>
      </c>
      <c r="H12" s="9">
        <v>268</v>
      </c>
      <c r="I12" s="9">
        <v>228</v>
      </c>
      <c r="J12" s="8">
        <v>669</v>
      </c>
      <c r="K12" s="9">
        <v>621</v>
      </c>
      <c r="L12" s="9">
        <v>550</v>
      </c>
      <c r="M12" s="9">
        <v>490</v>
      </c>
      <c r="N12" s="9">
        <v>437</v>
      </c>
      <c r="O12" s="9">
        <v>371</v>
      </c>
      <c r="P12" s="9">
        <v>400</v>
      </c>
      <c r="Q12" s="9">
        <v>327.15100000000001</v>
      </c>
      <c r="R12" s="9">
        <v>272.35700000000003</v>
      </c>
      <c r="S12" s="9">
        <v>234.29499999999999</v>
      </c>
      <c r="T12" s="9">
        <v>160.45699999999999</v>
      </c>
      <c r="U12" s="9">
        <v>270.58100000000002</v>
      </c>
      <c r="V12" s="9">
        <v>222.93899999999999</v>
      </c>
    </row>
    <row r="13" spans="1:22" x14ac:dyDescent="0.25">
      <c r="A13" s="1" t="s">
        <v>27</v>
      </c>
      <c r="B13" s="11">
        <f>SUM(B8:B12)</f>
        <v>32696</v>
      </c>
      <c r="C13" s="11">
        <f t="shared" ref="C13:V13" si="0">SUM(C8:C12)</f>
        <v>29505</v>
      </c>
      <c r="D13" s="11">
        <f t="shared" si="0"/>
        <v>28120</v>
      </c>
      <c r="E13" s="11">
        <f t="shared" si="0"/>
        <v>23485</v>
      </c>
      <c r="F13" s="11">
        <f t="shared" si="0"/>
        <v>20289</v>
      </c>
      <c r="G13" s="11">
        <f t="shared" si="0"/>
        <v>17317</v>
      </c>
      <c r="H13" s="11">
        <f t="shared" si="0"/>
        <v>15218</v>
      </c>
      <c r="I13" s="11">
        <f t="shared" si="0"/>
        <v>16779</v>
      </c>
      <c r="J13" s="11">
        <f t="shared" si="0"/>
        <v>17588</v>
      </c>
      <c r="K13" s="11">
        <f t="shared" si="0"/>
        <v>15840</v>
      </c>
      <c r="L13" s="11">
        <f t="shared" si="0"/>
        <v>13526</v>
      </c>
      <c r="M13" s="11">
        <f t="shared" si="0"/>
        <v>13706</v>
      </c>
      <c r="N13" s="11">
        <f t="shared" si="0"/>
        <v>11708</v>
      </c>
      <c r="O13" s="11">
        <f t="shared" si="0"/>
        <v>10337</v>
      </c>
      <c r="P13" s="11">
        <f t="shared" si="0"/>
        <v>9462</v>
      </c>
      <c r="Q13" s="11">
        <f t="shared" si="0"/>
        <v>9324.1530000000002</v>
      </c>
      <c r="R13" s="11">
        <f t="shared" si="0"/>
        <v>8232.0820000000003</v>
      </c>
      <c r="S13" s="11">
        <f t="shared" si="0"/>
        <v>8238.0010000000002</v>
      </c>
      <c r="T13" s="11">
        <f t="shared" si="0"/>
        <v>7269.0990000000002</v>
      </c>
      <c r="U13" s="11">
        <f t="shared" si="0"/>
        <v>5711.5380000000005</v>
      </c>
      <c r="V13" s="11">
        <f t="shared" si="0"/>
        <v>4630.5390000000007</v>
      </c>
    </row>
    <row r="14" spans="1:22" x14ac:dyDescent="0.25">
      <c r="A14" s="1" t="s">
        <v>28</v>
      </c>
      <c r="B14" s="9"/>
      <c r="C14" s="9"/>
      <c r="D14" s="9"/>
      <c r="E14" s="9"/>
      <c r="F14" s="9"/>
      <c r="G14" s="9"/>
      <c r="H14" s="9"/>
      <c r="I14" s="9"/>
      <c r="K14" s="9"/>
      <c r="L14" s="9"/>
      <c r="M14" s="9"/>
      <c r="N14" s="9"/>
      <c r="O14" s="9"/>
      <c r="P14" s="9"/>
      <c r="Q14" s="9"/>
      <c r="R14" s="9"/>
      <c r="S14" s="9"/>
      <c r="T14" s="9"/>
      <c r="U14" s="9"/>
      <c r="V14" s="9"/>
    </row>
    <row r="15" spans="1:22" x14ac:dyDescent="0.25">
      <c r="A15" s="1" t="s">
        <v>29</v>
      </c>
      <c r="B15" s="9">
        <v>24646</v>
      </c>
      <c r="C15" s="9">
        <v>23492</v>
      </c>
      <c r="D15" s="9">
        <v>21807</v>
      </c>
      <c r="E15" s="9">
        <v>20890</v>
      </c>
      <c r="F15" s="9">
        <v>19681</v>
      </c>
      <c r="G15" s="9">
        <v>18161</v>
      </c>
      <c r="H15" s="9">
        <v>17043</v>
      </c>
      <c r="I15" s="9">
        <v>15401</v>
      </c>
      <c r="J15" s="8">
        <v>14830</v>
      </c>
      <c r="K15" s="9">
        <v>13881</v>
      </c>
      <c r="L15" s="9">
        <v>12961</v>
      </c>
      <c r="M15" s="9">
        <v>12432</v>
      </c>
      <c r="N15" s="9">
        <v>11314</v>
      </c>
      <c r="O15" s="9">
        <v>10900</v>
      </c>
      <c r="P15" s="9">
        <v>10355</v>
      </c>
      <c r="Q15" s="9">
        <v>9519.7800000000007</v>
      </c>
      <c r="R15" s="9">
        <v>8564.2950000000001</v>
      </c>
      <c r="S15" s="9">
        <v>7790.192</v>
      </c>
      <c r="T15" s="9">
        <v>7219.8289999999997</v>
      </c>
      <c r="U15" s="9">
        <v>6960.0079999999998</v>
      </c>
      <c r="V15" s="9">
        <v>6523.6189999999997</v>
      </c>
    </row>
    <row r="16" spans="1:22" x14ac:dyDescent="0.25">
      <c r="A16" s="1" t="s">
        <v>30</v>
      </c>
      <c r="B16" s="9">
        <v>2774</v>
      </c>
      <c r="C16" s="9">
        <v>2890</v>
      </c>
      <c r="D16" s="9">
        <v>2788</v>
      </c>
      <c r="E16" s="9">
        <v>0</v>
      </c>
      <c r="F16" s="9">
        <v>0</v>
      </c>
      <c r="G16" s="9">
        <v>0</v>
      </c>
      <c r="H16" s="9">
        <v>0</v>
      </c>
      <c r="I16" s="9">
        <v>0</v>
      </c>
      <c r="J16" s="8">
        <v>0</v>
      </c>
      <c r="K16" s="9">
        <v>0</v>
      </c>
      <c r="L16" s="9">
        <v>0</v>
      </c>
      <c r="M16" s="9">
        <v>0</v>
      </c>
      <c r="N16" s="9">
        <v>0</v>
      </c>
      <c r="O16" s="9">
        <v>0</v>
      </c>
      <c r="P16" s="9">
        <v>0</v>
      </c>
      <c r="Q16" s="9">
        <v>0</v>
      </c>
      <c r="R16" s="9">
        <v>0</v>
      </c>
      <c r="S16" s="9">
        <v>0</v>
      </c>
      <c r="T16" s="9">
        <v>0</v>
      </c>
      <c r="U16" s="9">
        <v>0</v>
      </c>
      <c r="V16" s="9">
        <v>0</v>
      </c>
    </row>
    <row r="17" spans="1:22" x14ac:dyDescent="0.25">
      <c r="A17" s="1" t="s">
        <v>31</v>
      </c>
      <c r="B17" s="9">
        <v>4050</v>
      </c>
      <c r="C17" s="9">
        <v>3381</v>
      </c>
      <c r="D17" s="9">
        <v>2841</v>
      </c>
      <c r="E17" s="9">
        <v>1025</v>
      </c>
      <c r="F17" s="9">
        <v>860</v>
      </c>
      <c r="G17" s="9">
        <v>869</v>
      </c>
      <c r="H17" s="9">
        <v>902</v>
      </c>
      <c r="I17" s="9">
        <v>837</v>
      </c>
      <c r="J17" s="8">
        <v>606</v>
      </c>
      <c r="K17" s="9">
        <v>562</v>
      </c>
      <c r="L17" s="9">
        <v>653</v>
      </c>
      <c r="M17" s="9">
        <v>623</v>
      </c>
      <c r="N17" s="9">
        <v>793</v>
      </c>
      <c r="O17" s="9">
        <v>742</v>
      </c>
      <c r="P17" s="9">
        <v>865</v>
      </c>
      <c r="Q17" s="9">
        <v>762.65300000000002</v>
      </c>
      <c r="R17" s="9">
        <v>698.69299999999998</v>
      </c>
      <c r="S17" s="9">
        <v>637.01199999999994</v>
      </c>
      <c r="T17" s="9">
        <v>603.62</v>
      </c>
      <c r="U17" s="9">
        <v>520.14200000000005</v>
      </c>
      <c r="V17" s="9">
        <v>466.10500000000002</v>
      </c>
    </row>
    <row r="18" spans="1:22" ht="20" thickBot="1" x14ac:dyDescent="0.3">
      <c r="A18" s="6" t="s">
        <v>2</v>
      </c>
      <c r="B18" s="10">
        <f>SUM(B13:B17)</f>
        <v>64166</v>
      </c>
      <c r="C18" s="10">
        <f t="shared" ref="C18:V18" si="1">SUM(C13:C17)</f>
        <v>59268</v>
      </c>
      <c r="D18" s="10">
        <f t="shared" si="1"/>
        <v>55556</v>
      </c>
      <c r="E18" s="10">
        <f t="shared" si="1"/>
        <v>45400</v>
      </c>
      <c r="F18" s="10">
        <f t="shared" si="1"/>
        <v>40830</v>
      </c>
      <c r="G18" s="10">
        <f t="shared" si="1"/>
        <v>36347</v>
      </c>
      <c r="H18" s="10">
        <f t="shared" si="1"/>
        <v>33163</v>
      </c>
      <c r="I18" s="10">
        <f t="shared" si="1"/>
        <v>33017</v>
      </c>
      <c r="J18" s="10">
        <f t="shared" si="1"/>
        <v>33024</v>
      </c>
      <c r="K18" s="10">
        <f t="shared" si="1"/>
        <v>30283</v>
      </c>
      <c r="L18" s="10">
        <f t="shared" si="1"/>
        <v>27140</v>
      </c>
      <c r="M18" s="10">
        <f t="shared" si="1"/>
        <v>26761</v>
      </c>
      <c r="N18" s="10">
        <f t="shared" si="1"/>
        <v>23815</v>
      </c>
      <c r="O18" s="10">
        <f t="shared" si="1"/>
        <v>21979</v>
      </c>
      <c r="P18" s="10">
        <f t="shared" si="1"/>
        <v>20682</v>
      </c>
      <c r="Q18" s="10">
        <f t="shared" si="1"/>
        <v>19606.585999999999</v>
      </c>
      <c r="R18" s="10">
        <f t="shared" si="1"/>
        <v>17495.07</v>
      </c>
      <c r="S18" s="10">
        <f t="shared" si="1"/>
        <v>16665.204999999998</v>
      </c>
      <c r="T18" s="10">
        <f t="shared" si="1"/>
        <v>15092.548000000001</v>
      </c>
      <c r="U18" s="10">
        <f t="shared" si="1"/>
        <v>13191.688</v>
      </c>
      <c r="V18" s="10">
        <f t="shared" si="1"/>
        <v>11620.262999999999</v>
      </c>
    </row>
    <row r="19" spans="1:22" ht="20" thickTop="1" x14ac:dyDescent="0.25">
      <c r="A19" s="6" t="s">
        <v>32</v>
      </c>
      <c r="B19" s="9"/>
      <c r="C19" s="9"/>
      <c r="D19" s="9"/>
      <c r="E19" s="9"/>
      <c r="F19" s="9"/>
      <c r="G19" s="9"/>
      <c r="H19" s="9"/>
      <c r="I19" s="9"/>
      <c r="K19" s="9"/>
      <c r="L19" s="9"/>
      <c r="M19" s="9"/>
      <c r="N19" s="9"/>
      <c r="O19" s="9"/>
      <c r="P19" s="9"/>
      <c r="Q19" s="9"/>
      <c r="R19" s="9"/>
      <c r="S19" s="9"/>
      <c r="T19" s="9"/>
      <c r="U19" s="9"/>
      <c r="V19" s="9"/>
    </row>
    <row r="20" spans="1:22" x14ac:dyDescent="0.25">
      <c r="A20" s="1" t="s">
        <v>33</v>
      </c>
      <c r="B20" s="9"/>
      <c r="C20" s="9"/>
      <c r="D20" s="9"/>
      <c r="E20" s="9"/>
      <c r="F20" s="9"/>
      <c r="G20" s="9"/>
      <c r="H20" s="9"/>
      <c r="I20" s="9"/>
      <c r="K20" s="9"/>
      <c r="L20" s="9"/>
      <c r="M20" s="9"/>
      <c r="N20" s="9"/>
      <c r="O20" s="9"/>
      <c r="P20" s="9"/>
      <c r="Q20" s="9"/>
      <c r="R20" s="9"/>
      <c r="S20" s="9"/>
      <c r="T20" s="9"/>
      <c r="U20" s="9"/>
      <c r="V20" s="9"/>
    </row>
    <row r="21" spans="1:22" x14ac:dyDescent="0.25">
      <c r="A21" s="1" t="s">
        <v>3</v>
      </c>
      <c r="B21" s="9">
        <v>17848</v>
      </c>
      <c r="C21" s="9">
        <v>16278</v>
      </c>
      <c r="D21" s="9">
        <v>14172</v>
      </c>
      <c r="E21" s="9">
        <v>11679</v>
      </c>
      <c r="F21" s="9">
        <v>11237</v>
      </c>
      <c r="G21" s="9">
        <v>9608</v>
      </c>
      <c r="H21" s="9">
        <v>7612</v>
      </c>
      <c r="I21" s="9">
        <v>9011</v>
      </c>
      <c r="J21" s="8">
        <v>8491</v>
      </c>
      <c r="K21" s="9">
        <v>7872</v>
      </c>
      <c r="L21" s="9">
        <v>7303</v>
      </c>
      <c r="M21" s="9">
        <v>6544</v>
      </c>
      <c r="N21" s="9">
        <v>5947</v>
      </c>
      <c r="O21" s="9">
        <v>5450</v>
      </c>
      <c r="P21" s="9">
        <v>5225</v>
      </c>
      <c r="Q21" s="9">
        <v>5124.99</v>
      </c>
      <c r="R21" s="9">
        <v>4581.3950000000004</v>
      </c>
      <c r="S21" s="9">
        <v>4224.6760000000004</v>
      </c>
      <c r="T21" s="9">
        <v>3600.2</v>
      </c>
      <c r="U21" s="9">
        <v>3131.32</v>
      </c>
      <c r="V21" s="9">
        <v>2884.2689999999998</v>
      </c>
    </row>
    <row r="22" spans="1:22" x14ac:dyDescent="0.25">
      <c r="A22" s="1" t="s">
        <v>34</v>
      </c>
      <c r="B22" s="9">
        <v>4381</v>
      </c>
      <c r="C22" s="9">
        <v>4090</v>
      </c>
      <c r="D22" s="9">
        <v>3605</v>
      </c>
      <c r="E22" s="9">
        <v>3176</v>
      </c>
      <c r="F22" s="9">
        <v>2994</v>
      </c>
      <c r="G22" s="9">
        <v>2703</v>
      </c>
      <c r="H22" s="9">
        <v>2629</v>
      </c>
      <c r="I22" s="9">
        <v>2468</v>
      </c>
      <c r="J22" s="8">
        <v>2231</v>
      </c>
      <c r="K22" s="9">
        <v>2037</v>
      </c>
      <c r="L22" s="9">
        <v>1832</v>
      </c>
      <c r="M22" s="9">
        <v>1758</v>
      </c>
      <c r="N22" s="9">
        <v>1571</v>
      </c>
      <c r="O22" s="9">
        <v>1418</v>
      </c>
      <c r="P22" s="9">
        <v>1321</v>
      </c>
      <c r="Q22" s="9">
        <v>1226.6659999999999</v>
      </c>
      <c r="R22" s="9">
        <v>1080.3820000000001</v>
      </c>
      <c r="S22" s="9">
        <v>1025.181</v>
      </c>
      <c r="T22" s="9">
        <v>904.20899999999995</v>
      </c>
      <c r="U22" s="9">
        <v>734.26099999999997</v>
      </c>
      <c r="V22" s="9">
        <v>589.92700000000002</v>
      </c>
    </row>
    <row r="23" spans="1:22" x14ac:dyDescent="0.25">
      <c r="A23" s="1" t="s">
        <v>35</v>
      </c>
      <c r="B23" s="9">
        <v>1911</v>
      </c>
      <c r="C23" s="9">
        <v>1671</v>
      </c>
      <c r="D23" s="9">
        <v>1393</v>
      </c>
      <c r="E23" s="9">
        <v>1180</v>
      </c>
      <c r="F23" s="9">
        <v>1057</v>
      </c>
      <c r="G23" s="9">
        <v>961</v>
      </c>
      <c r="H23" s="9">
        <v>869</v>
      </c>
      <c r="I23" s="9">
        <v>813</v>
      </c>
      <c r="J23" s="8">
        <v>773</v>
      </c>
      <c r="K23" s="9">
        <v>710</v>
      </c>
      <c r="L23" s="9">
        <v>661</v>
      </c>
      <c r="M23" s="9">
        <v>602</v>
      </c>
      <c r="N23" s="85" t="s">
        <v>158</v>
      </c>
      <c r="O23" s="85"/>
      <c r="P23" s="85"/>
      <c r="Q23" s="85"/>
      <c r="R23" s="85"/>
      <c r="S23" s="85"/>
      <c r="T23" s="85"/>
      <c r="U23" s="85"/>
      <c r="V23" s="85"/>
    </row>
    <row r="24" spans="1:22" x14ac:dyDescent="0.25">
      <c r="A24" s="1" t="s">
        <v>50</v>
      </c>
      <c r="B24" s="9">
        <v>0</v>
      </c>
      <c r="C24" s="9">
        <v>0</v>
      </c>
      <c r="D24" s="9">
        <v>0</v>
      </c>
      <c r="E24" s="9">
        <v>0</v>
      </c>
      <c r="F24" s="9">
        <v>0</v>
      </c>
      <c r="G24" s="9">
        <v>0</v>
      </c>
      <c r="H24" s="9">
        <v>0</v>
      </c>
      <c r="I24" s="9">
        <v>0</v>
      </c>
      <c r="J24" s="8">
        <v>442</v>
      </c>
      <c r="K24" s="9">
        <v>382</v>
      </c>
      <c r="L24" s="9">
        <v>397</v>
      </c>
      <c r="M24" s="9">
        <v>335</v>
      </c>
      <c r="N24" s="9">
        <v>322</v>
      </c>
      <c r="O24" s="9">
        <v>302</v>
      </c>
      <c r="P24" s="9">
        <v>283</v>
      </c>
      <c r="Q24" s="9">
        <v>267.92</v>
      </c>
      <c r="R24" s="9">
        <v>324.274</v>
      </c>
      <c r="S24" s="9">
        <v>263.899</v>
      </c>
      <c r="T24" s="9">
        <v>223.00899999999999</v>
      </c>
      <c r="U24" s="9">
        <v>207.392</v>
      </c>
      <c r="V24" s="9">
        <v>163.273</v>
      </c>
    </row>
    <row r="25" spans="1:22" x14ac:dyDescent="0.25">
      <c r="A25" s="1" t="s">
        <v>36</v>
      </c>
      <c r="B25" s="9">
        <v>2174</v>
      </c>
      <c r="C25" s="9">
        <v>2042</v>
      </c>
      <c r="D25" s="9">
        <v>1851</v>
      </c>
      <c r="E25" s="9">
        <v>1711</v>
      </c>
      <c r="F25" s="9">
        <v>1624</v>
      </c>
      <c r="G25" s="9">
        <v>1498</v>
      </c>
      <c r="H25" s="9">
        <v>1362</v>
      </c>
      <c r="I25" s="9">
        <v>1269</v>
      </c>
      <c r="J25" s="8">
        <v>1254</v>
      </c>
      <c r="K25" s="9">
        <v>1167</v>
      </c>
      <c r="L25" s="9">
        <v>1101</v>
      </c>
      <c r="M25" s="9">
        <v>973</v>
      </c>
      <c r="N25" s="9">
        <v>869</v>
      </c>
      <c r="O25" s="9">
        <v>824</v>
      </c>
      <c r="P25" s="9">
        <v>748</v>
      </c>
      <c r="Q25" s="9">
        <v>692.17600000000004</v>
      </c>
      <c r="R25" s="9">
        <v>583.94600000000003</v>
      </c>
      <c r="S25" s="9">
        <v>500.55799999999999</v>
      </c>
      <c r="T25" s="9">
        <v>453.88099999999997</v>
      </c>
      <c r="U25" s="9">
        <v>401.35700000000003</v>
      </c>
      <c r="V25" s="9">
        <v>360.51499999999999</v>
      </c>
    </row>
    <row r="26" spans="1:22" x14ac:dyDescent="0.25">
      <c r="A26" s="1" t="s">
        <v>157</v>
      </c>
      <c r="B26" s="9">
        <v>0</v>
      </c>
      <c r="C26" s="9">
        <v>0</v>
      </c>
      <c r="D26" s="9">
        <v>0</v>
      </c>
      <c r="E26" s="9">
        <v>0</v>
      </c>
      <c r="F26" s="9">
        <v>0</v>
      </c>
      <c r="G26" s="9">
        <v>0</v>
      </c>
      <c r="H26" s="9">
        <v>0</v>
      </c>
      <c r="I26" s="9">
        <v>0</v>
      </c>
      <c r="J26" s="9">
        <v>0</v>
      </c>
      <c r="K26" s="9">
        <v>0</v>
      </c>
      <c r="L26" s="9">
        <v>0</v>
      </c>
      <c r="M26" s="9">
        <v>0</v>
      </c>
      <c r="N26" s="9">
        <v>26</v>
      </c>
      <c r="O26" s="9">
        <v>16</v>
      </c>
      <c r="P26" s="9">
        <v>134</v>
      </c>
      <c r="Q26" s="9">
        <v>53.832000000000001</v>
      </c>
      <c r="R26" s="9">
        <v>41.384999999999998</v>
      </c>
      <c r="S26" s="9">
        <v>54.356000000000002</v>
      </c>
      <c r="T26" s="9">
        <v>21.594999999999999</v>
      </c>
      <c r="U26" s="9">
        <v>47.420999999999999</v>
      </c>
      <c r="V26" s="9">
        <v>103.774</v>
      </c>
    </row>
    <row r="27" spans="1:22" x14ac:dyDescent="0.25">
      <c r="A27" s="1" t="s">
        <v>11</v>
      </c>
      <c r="B27" s="9">
        <v>73</v>
      </c>
      <c r="C27" s="9">
        <v>799</v>
      </c>
      <c r="D27" s="9">
        <v>95</v>
      </c>
      <c r="E27" s="9">
        <v>1699</v>
      </c>
      <c r="F27" s="9">
        <v>90</v>
      </c>
      <c r="G27" s="9">
        <v>86</v>
      </c>
      <c r="H27" s="9">
        <v>1100</v>
      </c>
      <c r="I27" s="9">
        <v>1283</v>
      </c>
      <c r="J27" s="8">
        <v>0</v>
      </c>
      <c r="K27" s="9">
        <v>0</v>
      </c>
      <c r="L27" s="9">
        <v>1</v>
      </c>
      <c r="M27" s="9">
        <v>900</v>
      </c>
      <c r="N27" s="9">
        <v>0</v>
      </c>
      <c r="O27" s="9">
        <v>81</v>
      </c>
      <c r="P27" s="9">
        <v>6</v>
      </c>
      <c r="Q27" s="9">
        <v>59.905000000000001</v>
      </c>
      <c r="R27" s="9">
        <v>308.52300000000002</v>
      </c>
      <c r="S27" s="9">
        <v>3.2250000000000001</v>
      </c>
      <c r="T27" s="9">
        <v>305.59399999999999</v>
      </c>
      <c r="U27" s="9">
        <v>7.0510000000000002</v>
      </c>
      <c r="V27" s="9">
        <v>0</v>
      </c>
    </row>
    <row r="28" spans="1:22" x14ac:dyDescent="0.25">
      <c r="A28" s="1" t="s">
        <v>37</v>
      </c>
      <c r="B28" s="9">
        <v>5611</v>
      </c>
      <c r="C28" s="9">
        <v>4561</v>
      </c>
      <c r="D28" s="9">
        <v>3728</v>
      </c>
      <c r="E28" s="9">
        <v>3792</v>
      </c>
      <c r="F28" s="9">
        <v>2924</v>
      </c>
      <c r="G28" s="9">
        <v>2639</v>
      </c>
      <c r="H28" s="9">
        <v>2003</v>
      </c>
      <c r="I28" s="9">
        <v>1695</v>
      </c>
      <c r="J28" s="8">
        <v>1221</v>
      </c>
      <c r="K28" s="9">
        <v>1089</v>
      </c>
      <c r="L28" s="9">
        <v>965</v>
      </c>
      <c r="M28" s="9">
        <v>938</v>
      </c>
      <c r="N28" s="9">
        <v>1328</v>
      </c>
      <c r="O28" s="9">
        <v>1190</v>
      </c>
      <c r="P28" s="9">
        <v>1157</v>
      </c>
      <c r="Q28" s="9">
        <v>1156.2639999999999</v>
      </c>
      <c r="R28" s="9">
        <v>899.28599999999994</v>
      </c>
      <c r="S28" s="9">
        <v>688.64200000000005</v>
      </c>
      <c r="T28" s="9">
        <v>662.06200000000001</v>
      </c>
      <c r="U28" s="9">
        <v>482.30500000000001</v>
      </c>
      <c r="V28" s="9">
        <v>347.97500000000002</v>
      </c>
    </row>
    <row r="29" spans="1:22" x14ac:dyDescent="0.25">
      <c r="A29" s="1" t="s">
        <v>38</v>
      </c>
      <c r="B29" s="11">
        <f>SUM(B21:B28)</f>
        <v>31998</v>
      </c>
      <c r="C29" s="11">
        <f t="shared" ref="C29:K29" si="2">SUM(C21:C28)</f>
        <v>29441</v>
      </c>
      <c r="D29" s="11">
        <f t="shared" si="2"/>
        <v>24844</v>
      </c>
      <c r="E29" s="11">
        <f t="shared" si="2"/>
        <v>23237</v>
      </c>
      <c r="F29" s="11">
        <f t="shared" si="2"/>
        <v>19926</v>
      </c>
      <c r="G29" s="11">
        <f t="shared" si="2"/>
        <v>17495</v>
      </c>
      <c r="H29" s="11">
        <f t="shared" si="2"/>
        <v>15575</v>
      </c>
      <c r="I29" s="11">
        <f t="shared" si="2"/>
        <v>16539</v>
      </c>
      <c r="J29" s="11">
        <f t="shared" si="2"/>
        <v>14412</v>
      </c>
      <c r="K29" s="11">
        <f t="shared" si="2"/>
        <v>13257</v>
      </c>
      <c r="L29" s="11">
        <f>SUM(L21:L28)</f>
        <v>12260</v>
      </c>
      <c r="M29" s="11">
        <f t="shared" ref="M29:V29" si="3">SUM(M21:M28)</f>
        <v>12050</v>
      </c>
      <c r="N29" s="11">
        <f t="shared" si="3"/>
        <v>10063</v>
      </c>
      <c r="O29" s="11">
        <f t="shared" si="3"/>
        <v>9281</v>
      </c>
      <c r="P29" s="11">
        <f t="shared" si="3"/>
        <v>8874</v>
      </c>
      <c r="Q29" s="11">
        <f t="shared" si="3"/>
        <v>8581.7530000000006</v>
      </c>
      <c r="R29" s="11">
        <f t="shared" si="3"/>
        <v>7819.1910000000007</v>
      </c>
      <c r="S29" s="11">
        <f t="shared" si="3"/>
        <v>6760.5370000000003</v>
      </c>
      <c r="T29" s="11">
        <f t="shared" si="3"/>
        <v>6170.55</v>
      </c>
      <c r="U29" s="11">
        <f t="shared" si="3"/>
        <v>5011.1070000000009</v>
      </c>
      <c r="V29" s="11">
        <f t="shared" si="3"/>
        <v>4449.7330000000002</v>
      </c>
    </row>
    <row r="30" spans="1:22" x14ac:dyDescent="0.25">
      <c r="A30" s="1" t="s">
        <v>39</v>
      </c>
      <c r="B30" s="9"/>
      <c r="C30" s="9"/>
      <c r="D30" s="9"/>
      <c r="E30" s="9"/>
      <c r="F30" s="9"/>
      <c r="G30" s="9"/>
      <c r="H30" s="9"/>
      <c r="I30" s="9"/>
      <c r="K30" s="9"/>
      <c r="L30" s="9"/>
      <c r="M30" s="9"/>
      <c r="N30" s="9"/>
      <c r="O30" s="9"/>
      <c r="P30" s="9"/>
      <c r="Q30" s="9"/>
      <c r="R30" s="9"/>
      <c r="S30" s="9"/>
      <c r="T30" s="9"/>
      <c r="U30" s="9"/>
      <c r="V30" s="9"/>
    </row>
    <row r="31" spans="1:22" x14ac:dyDescent="0.25">
      <c r="A31" s="1" t="s">
        <v>40</v>
      </c>
      <c r="B31" s="9">
        <v>6484</v>
      </c>
      <c r="C31" s="9">
        <v>6692</v>
      </c>
      <c r="D31" s="9">
        <v>7514</v>
      </c>
      <c r="E31" s="9">
        <v>5124</v>
      </c>
      <c r="F31" s="9">
        <v>6487</v>
      </c>
      <c r="G31" s="9">
        <v>6573</v>
      </c>
      <c r="H31" s="9">
        <v>4061</v>
      </c>
      <c r="I31" s="9">
        <v>4852</v>
      </c>
      <c r="J31" s="8">
        <v>5093</v>
      </c>
      <c r="K31" s="9">
        <v>4998</v>
      </c>
      <c r="L31" s="9">
        <v>1381</v>
      </c>
      <c r="M31" s="9">
        <v>1253</v>
      </c>
      <c r="N31" s="9">
        <v>2141</v>
      </c>
      <c r="O31" s="9">
        <v>2130</v>
      </c>
      <c r="P31" s="9">
        <v>2206</v>
      </c>
      <c r="Q31" s="9">
        <v>2107.9780000000001</v>
      </c>
      <c r="R31" s="9">
        <v>215.369</v>
      </c>
      <c r="S31" s="9">
        <v>710.67499999999995</v>
      </c>
      <c r="T31" s="9">
        <v>993.74599999999998</v>
      </c>
      <c r="U31" s="9">
        <v>1289.6489999999999</v>
      </c>
      <c r="V31" s="9">
        <v>1210.6379999999999</v>
      </c>
    </row>
    <row r="32" spans="1:22" x14ac:dyDescent="0.25">
      <c r="A32" s="1" t="s">
        <v>41</v>
      </c>
      <c r="B32" s="9">
        <v>2482</v>
      </c>
      <c r="C32" s="9">
        <v>2642</v>
      </c>
      <c r="D32" s="9">
        <v>2558</v>
      </c>
      <c r="E32" s="9">
        <v>0</v>
      </c>
      <c r="F32" s="9">
        <v>0</v>
      </c>
      <c r="G32" s="9">
        <v>0</v>
      </c>
      <c r="H32" s="9">
        <v>0</v>
      </c>
      <c r="I32" s="9">
        <v>0</v>
      </c>
      <c r="J32" s="8">
        <v>0</v>
      </c>
      <c r="K32" s="9">
        <v>0</v>
      </c>
      <c r="L32" s="9">
        <v>0</v>
      </c>
      <c r="M32" s="9">
        <v>0</v>
      </c>
      <c r="N32" s="9">
        <v>0</v>
      </c>
      <c r="O32" s="9">
        <v>0</v>
      </c>
      <c r="P32" s="9">
        <v>0</v>
      </c>
      <c r="Q32" s="9">
        <v>0</v>
      </c>
      <c r="R32" s="9">
        <v>0</v>
      </c>
      <c r="S32" s="9">
        <v>0</v>
      </c>
      <c r="T32" s="9">
        <v>0</v>
      </c>
      <c r="U32" s="9">
        <v>0</v>
      </c>
      <c r="V32" s="9">
        <v>0</v>
      </c>
    </row>
    <row r="33" spans="1:22" x14ac:dyDescent="0.25">
      <c r="A33" s="1" t="s">
        <v>42</v>
      </c>
      <c r="B33" s="9">
        <v>2555</v>
      </c>
      <c r="C33" s="9">
        <v>2415</v>
      </c>
      <c r="D33" s="9">
        <v>1935</v>
      </c>
      <c r="E33" s="9">
        <v>1455</v>
      </c>
      <c r="F33" s="9">
        <v>1314</v>
      </c>
      <c r="G33" s="9">
        <v>1200</v>
      </c>
      <c r="H33" s="9">
        <v>1195</v>
      </c>
      <c r="I33" s="9">
        <v>783</v>
      </c>
      <c r="J33" s="8">
        <v>1004</v>
      </c>
      <c r="K33" s="9">
        <v>1016</v>
      </c>
      <c r="L33" s="9">
        <v>981</v>
      </c>
      <c r="M33" s="9">
        <v>885</v>
      </c>
      <c r="N33" s="9">
        <v>681</v>
      </c>
      <c r="O33" s="9">
        <v>464</v>
      </c>
      <c r="P33" s="9">
        <v>328</v>
      </c>
      <c r="Q33" s="9">
        <v>224.197</v>
      </c>
      <c r="R33" s="9">
        <v>253.71299999999999</v>
      </c>
      <c r="S33" s="9">
        <v>254.27</v>
      </c>
      <c r="T33" s="9">
        <v>244.17599999999999</v>
      </c>
      <c r="U33" s="9">
        <v>209.83500000000001</v>
      </c>
      <c r="V33" s="9">
        <v>145.92500000000001</v>
      </c>
    </row>
    <row r="34" spans="1:22" x14ac:dyDescent="0.25">
      <c r="A34" s="1" t="s">
        <v>16</v>
      </c>
      <c r="B34" s="11">
        <f>SUM(B29:B33)</f>
        <v>43519</v>
      </c>
      <c r="C34" s="11">
        <f t="shared" ref="C34:V34" si="4">SUM(C29:C33)</f>
        <v>41190</v>
      </c>
      <c r="D34" s="11">
        <f t="shared" si="4"/>
        <v>36851</v>
      </c>
      <c r="E34" s="11">
        <f t="shared" si="4"/>
        <v>29816</v>
      </c>
      <c r="F34" s="11">
        <f t="shared" si="4"/>
        <v>27727</v>
      </c>
      <c r="G34" s="11">
        <f t="shared" si="4"/>
        <v>25268</v>
      </c>
      <c r="H34" s="11">
        <f t="shared" si="4"/>
        <v>20831</v>
      </c>
      <c r="I34" s="11">
        <f t="shared" si="4"/>
        <v>22174</v>
      </c>
      <c r="J34" s="11">
        <f t="shared" si="4"/>
        <v>20509</v>
      </c>
      <c r="K34" s="11">
        <f t="shared" si="4"/>
        <v>19271</v>
      </c>
      <c r="L34" s="11">
        <f t="shared" si="4"/>
        <v>14622</v>
      </c>
      <c r="M34" s="11">
        <f t="shared" si="4"/>
        <v>14188</v>
      </c>
      <c r="N34" s="11">
        <f t="shared" si="4"/>
        <v>12885</v>
      </c>
      <c r="O34" s="11">
        <f t="shared" si="4"/>
        <v>11875</v>
      </c>
      <c r="P34" s="11">
        <f t="shared" si="4"/>
        <v>11408</v>
      </c>
      <c r="Q34" s="11">
        <f t="shared" si="4"/>
        <v>10913.928</v>
      </c>
      <c r="R34" s="11">
        <f t="shared" si="4"/>
        <v>8288.273000000001</v>
      </c>
      <c r="S34" s="11">
        <f t="shared" si="4"/>
        <v>7725.4820000000009</v>
      </c>
      <c r="T34" s="11">
        <f t="shared" si="4"/>
        <v>7408.4720000000007</v>
      </c>
      <c r="U34" s="11">
        <f t="shared" si="4"/>
        <v>6510.5910000000013</v>
      </c>
      <c r="V34" s="11">
        <f t="shared" si="4"/>
        <v>5806.2960000000003</v>
      </c>
    </row>
    <row r="35" spans="1:22" x14ac:dyDescent="0.25">
      <c r="A35" s="1" t="s">
        <v>43</v>
      </c>
      <c r="B35" s="9"/>
      <c r="C35" s="9"/>
      <c r="D35" s="9"/>
      <c r="E35" s="9"/>
      <c r="F35" s="9"/>
      <c r="G35" s="9"/>
      <c r="H35" s="9"/>
      <c r="I35" s="9"/>
      <c r="K35" s="9"/>
      <c r="L35" s="9"/>
      <c r="M35" s="9"/>
      <c r="N35" s="9"/>
      <c r="O35" s="9"/>
      <c r="P35" s="9"/>
      <c r="Q35" s="9"/>
      <c r="R35" s="9"/>
      <c r="S35" s="9"/>
      <c r="T35" s="9"/>
      <c r="U35" s="9"/>
      <c r="V35" s="9"/>
    </row>
    <row r="36" spans="1:22" x14ac:dyDescent="0.25">
      <c r="A36" s="1" t="s">
        <v>44</v>
      </c>
      <c r="B36" s="9">
        <v>0</v>
      </c>
      <c r="C36" s="9">
        <v>0</v>
      </c>
      <c r="D36" s="9">
        <v>0</v>
      </c>
      <c r="E36" s="9">
        <v>0</v>
      </c>
      <c r="F36" s="9">
        <v>0</v>
      </c>
      <c r="G36" s="9">
        <v>0</v>
      </c>
      <c r="H36" s="9">
        <v>0</v>
      </c>
      <c r="I36" s="9">
        <v>0</v>
      </c>
      <c r="J36" s="8">
        <v>0</v>
      </c>
      <c r="K36" s="9">
        <v>0</v>
      </c>
      <c r="L36" s="9">
        <v>0</v>
      </c>
      <c r="M36" s="9">
        <v>0</v>
      </c>
      <c r="N36" s="9">
        <v>0</v>
      </c>
      <c r="O36" s="9">
        <v>0</v>
      </c>
      <c r="P36" s="9">
        <v>0</v>
      </c>
      <c r="Q36" s="9">
        <v>0</v>
      </c>
      <c r="R36" s="9">
        <v>0</v>
      </c>
      <c r="S36" s="9">
        <v>0</v>
      </c>
      <c r="T36" s="9">
        <v>0</v>
      </c>
      <c r="U36" s="9">
        <v>0</v>
      </c>
      <c r="V36" s="9">
        <v>0</v>
      </c>
    </row>
    <row r="37" spans="1:22" x14ac:dyDescent="0.25">
      <c r="A37" s="1" t="s">
        <v>4</v>
      </c>
      <c r="B37" s="9">
        <v>2</v>
      </c>
      <c r="C37" s="9">
        <v>4</v>
      </c>
      <c r="D37" s="9">
        <v>4</v>
      </c>
      <c r="E37" s="9">
        <v>4</v>
      </c>
      <c r="F37" s="9">
        <v>4</v>
      </c>
      <c r="G37" s="9">
        <v>4</v>
      </c>
      <c r="H37" s="9">
        <v>2</v>
      </c>
      <c r="I37" s="9">
        <v>2</v>
      </c>
      <c r="J37" s="8">
        <v>2</v>
      </c>
      <c r="K37" s="9">
        <v>2</v>
      </c>
      <c r="L37" s="9">
        <v>2</v>
      </c>
      <c r="M37" s="9">
        <v>2</v>
      </c>
      <c r="N37" s="9">
        <v>2</v>
      </c>
      <c r="O37" s="9">
        <v>2</v>
      </c>
      <c r="P37" s="9">
        <v>2</v>
      </c>
      <c r="Q37" s="9">
        <v>2.1850000000000001</v>
      </c>
      <c r="R37" s="9">
        <v>2.3119999999999998</v>
      </c>
      <c r="S37" s="9">
        <v>2.3620000000000001</v>
      </c>
      <c r="T37" s="9">
        <v>2.3130000000000002</v>
      </c>
      <c r="U37" s="9">
        <v>2.2869999999999999</v>
      </c>
      <c r="V37" s="9">
        <v>2.2770000000000001</v>
      </c>
    </row>
    <row r="38" spans="1:22" x14ac:dyDescent="0.25">
      <c r="A38" s="1" t="s">
        <v>45</v>
      </c>
      <c r="B38" s="9">
        <v>6884</v>
      </c>
      <c r="C38" s="9">
        <v>7031</v>
      </c>
      <c r="D38" s="9">
        <v>6698</v>
      </c>
      <c r="E38" s="9">
        <v>6417</v>
      </c>
      <c r="F38" s="9">
        <v>6107</v>
      </c>
      <c r="G38" s="9">
        <v>5800</v>
      </c>
      <c r="H38" s="9">
        <v>5490</v>
      </c>
      <c r="I38" s="9">
        <v>5218</v>
      </c>
      <c r="J38" s="8">
        <v>4919</v>
      </c>
      <c r="K38" s="9">
        <v>4670</v>
      </c>
      <c r="L38" s="9">
        <v>4369</v>
      </c>
      <c r="M38" s="9">
        <v>4516</v>
      </c>
      <c r="N38" s="9">
        <v>4115</v>
      </c>
      <c r="O38" s="9">
        <v>3811</v>
      </c>
      <c r="P38" s="9">
        <v>3543</v>
      </c>
      <c r="Q38" s="9">
        <v>3118.2240000000002</v>
      </c>
      <c r="R38" s="9">
        <v>2822.652</v>
      </c>
      <c r="S38" s="9">
        <v>2096.5540000000001</v>
      </c>
      <c r="T38" s="9">
        <v>1466.366</v>
      </c>
      <c r="U38" s="9">
        <v>1280.942</v>
      </c>
      <c r="V38" s="9">
        <v>1220.954</v>
      </c>
    </row>
    <row r="39" spans="1:22" x14ac:dyDescent="0.25">
      <c r="A39" s="1" t="s">
        <v>8</v>
      </c>
      <c r="B39" s="9">
        <v>-1829</v>
      </c>
      <c r="C39" s="9">
        <v>-1137</v>
      </c>
      <c r="D39" s="9">
        <v>-1297</v>
      </c>
      <c r="E39" s="9">
        <v>-1436</v>
      </c>
      <c r="F39" s="9">
        <v>-1199</v>
      </c>
      <c r="G39" s="9">
        <v>-1014</v>
      </c>
      <c r="H39" s="9">
        <v>-1099</v>
      </c>
      <c r="I39" s="9">
        <v>-1121</v>
      </c>
      <c r="J39" s="8">
        <v>-76</v>
      </c>
      <c r="K39" s="9">
        <v>-122</v>
      </c>
      <c r="L39" s="9">
        <v>156</v>
      </c>
      <c r="M39" s="9">
        <v>373</v>
      </c>
      <c r="N39" s="9">
        <v>122</v>
      </c>
      <c r="O39" s="9">
        <v>110</v>
      </c>
      <c r="P39" s="9">
        <v>286</v>
      </c>
      <c r="Q39" s="9">
        <v>370.589</v>
      </c>
      <c r="R39" s="9">
        <v>277.26299999999998</v>
      </c>
      <c r="S39" s="9">
        <v>158.03899999999999</v>
      </c>
      <c r="T39" s="9">
        <v>16.143999999999998</v>
      </c>
      <c r="U39" s="9">
        <v>-77.98</v>
      </c>
      <c r="V39" s="9">
        <v>-157.72499999999999</v>
      </c>
    </row>
    <row r="40" spans="1:22" x14ac:dyDescent="0.25">
      <c r="A40" s="1" t="s">
        <v>5</v>
      </c>
      <c r="B40" s="9">
        <v>15585</v>
      </c>
      <c r="C40" s="9">
        <v>11666</v>
      </c>
      <c r="D40" s="9">
        <v>12879</v>
      </c>
      <c r="E40" s="9">
        <v>10258</v>
      </c>
      <c r="F40" s="9">
        <v>7887</v>
      </c>
      <c r="G40" s="9">
        <v>5988</v>
      </c>
      <c r="H40" s="9">
        <v>7686</v>
      </c>
      <c r="I40" s="9">
        <v>6518</v>
      </c>
      <c r="J40" s="8">
        <v>7458</v>
      </c>
      <c r="K40" s="9">
        <v>6283</v>
      </c>
      <c r="L40" s="9">
        <v>7834</v>
      </c>
      <c r="M40" s="9">
        <v>7111</v>
      </c>
      <c r="N40" s="9">
        <v>6590</v>
      </c>
      <c r="O40" s="9">
        <v>6101</v>
      </c>
      <c r="P40" s="9">
        <v>5361</v>
      </c>
      <c r="Q40" s="9">
        <v>5132.3429999999998</v>
      </c>
      <c r="R40" s="9">
        <v>6041.2120000000004</v>
      </c>
      <c r="S40" s="9">
        <v>6624.1540000000005</v>
      </c>
      <c r="T40" s="9">
        <v>6139.9870000000001</v>
      </c>
      <c r="U40" s="9">
        <v>5349.7309999999998</v>
      </c>
      <c r="V40" s="9">
        <v>4628.7309999999998</v>
      </c>
    </row>
    <row r="41" spans="1:22" x14ac:dyDescent="0.25">
      <c r="A41" s="6" t="s">
        <v>46</v>
      </c>
      <c r="B41" s="12">
        <f>SUM(B36:B40)</f>
        <v>20642</v>
      </c>
      <c r="C41" s="12">
        <f t="shared" ref="C41:V41" si="5">SUM(C36:C40)</f>
        <v>17564</v>
      </c>
      <c r="D41" s="12">
        <f t="shared" si="5"/>
        <v>18284</v>
      </c>
      <c r="E41" s="12">
        <f t="shared" si="5"/>
        <v>15243</v>
      </c>
      <c r="F41" s="12">
        <f t="shared" si="5"/>
        <v>12799</v>
      </c>
      <c r="G41" s="12">
        <f t="shared" si="5"/>
        <v>10778</v>
      </c>
      <c r="H41" s="12">
        <f t="shared" si="5"/>
        <v>12079</v>
      </c>
      <c r="I41" s="12">
        <f t="shared" si="5"/>
        <v>10617</v>
      </c>
      <c r="J41" s="12">
        <f t="shared" si="5"/>
        <v>12303</v>
      </c>
      <c r="K41" s="12">
        <f t="shared" si="5"/>
        <v>10833</v>
      </c>
      <c r="L41" s="12">
        <f t="shared" si="5"/>
        <v>12361</v>
      </c>
      <c r="M41" s="12">
        <f t="shared" si="5"/>
        <v>12002</v>
      </c>
      <c r="N41" s="12">
        <f t="shared" si="5"/>
        <v>10829</v>
      </c>
      <c r="O41" s="12">
        <f t="shared" si="5"/>
        <v>10024</v>
      </c>
      <c r="P41" s="12">
        <f t="shared" si="5"/>
        <v>9192</v>
      </c>
      <c r="Q41" s="12">
        <f t="shared" si="5"/>
        <v>8623.3410000000003</v>
      </c>
      <c r="R41" s="12">
        <f t="shared" si="5"/>
        <v>9143.4390000000003</v>
      </c>
      <c r="S41" s="12">
        <f t="shared" si="5"/>
        <v>8881.1090000000004</v>
      </c>
      <c r="T41" s="12">
        <f t="shared" si="5"/>
        <v>7624.81</v>
      </c>
      <c r="U41" s="12">
        <f t="shared" si="5"/>
        <v>6554.98</v>
      </c>
      <c r="V41" s="12">
        <f t="shared" si="5"/>
        <v>5694.2370000000001</v>
      </c>
    </row>
    <row r="42" spans="1:22" x14ac:dyDescent="0.25">
      <c r="A42" s="1" t="s">
        <v>47</v>
      </c>
      <c r="B42" s="9">
        <v>5</v>
      </c>
      <c r="C42" s="9">
        <v>514</v>
      </c>
      <c r="D42" s="9">
        <v>421</v>
      </c>
      <c r="E42" s="9">
        <v>341</v>
      </c>
      <c r="F42" s="9">
        <v>304</v>
      </c>
      <c r="G42" s="9">
        <v>301</v>
      </c>
      <c r="H42" s="9">
        <v>253</v>
      </c>
      <c r="I42" s="9">
        <v>226</v>
      </c>
      <c r="J42" s="8">
        <v>212</v>
      </c>
      <c r="K42" s="9">
        <v>179</v>
      </c>
      <c r="L42" s="9">
        <v>157</v>
      </c>
      <c r="M42" s="9">
        <v>571</v>
      </c>
      <c r="N42" s="9">
        <v>101</v>
      </c>
      <c r="O42" s="9">
        <v>80</v>
      </c>
      <c r="P42" s="9">
        <v>82</v>
      </c>
      <c r="Q42" s="9">
        <v>69.316999999999993</v>
      </c>
      <c r="R42" s="9">
        <v>63.357999999999997</v>
      </c>
      <c r="S42" s="9">
        <v>58.613999999999997</v>
      </c>
      <c r="T42" s="9">
        <v>59.265999999999998</v>
      </c>
      <c r="U42" s="9">
        <v>126.117</v>
      </c>
      <c r="V42" s="9">
        <v>119.73</v>
      </c>
    </row>
    <row r="43" spans="1:22" x14ac:dyDescent="0.25">
      <c r="A43" s="1" t="s">
        <v>48</v>
      </c>
      <c r="B43" s="11">
        <f>SUM(B41:B42)</f>
        <v>20647</v>
      </c>
      <c r="C43" s="11">
        <f t="shared" ref="C43:V43" si="6">SUM(C41:C42)</f>
        <v>18078</v>
      </c>
      <c r="D43" s="11">
        <f t="shared" si="6"/>
        <v>18705</v>
      </c>
      <c r="E43" s="11">
        <f t="shared" si="6"/>
        <v>15584</v>
      </c>
      <c r="F43" s="11">
        <f t="shared" si="6"/>
        <v>13103</v>
      </c>
      <c r="G43" s="11">
        <f t="shared" si="6"/>
        <v>11079</v>
      </c>
      <c r="H43" s="11">
        <f t="shared" si="6"/>
        <v>12332</v>
      </c>
      <c r="I43" s="11">
        <f t="shared" si="6"/>
        <v>10843</v>
      </c>
      <c r="J43" s="11">
        <f t="shared" si="6"/>
        <v>12515</v>
      </c>
      <c r="K43" s="11">
        <f t="shared" si="6"/>
        <v>11012</v>
      </c>
      <c r="L43" s="11">
        <f t="shared" si="6"/>
        <v>12518</v>
      </c>
      <c r="M43" s="11">
        <f t="shared" si="6"/>
        <v>12573</v>
      </c>
      <c r="N43" s="11">
        <f t="shared" si="6"/>
        <v>10930</v>
      </c>
      <c r="O43" s="11">
        <f t="shared" si="6"/>
        <v>10104</v>
      </c>
      <c r="P43" s="11">
        <f t="shared" si="6"/>
        <v>9274</v>
      </c>
      <c r="Q43" s="11">
        <f t="shared" si="6"/>
        <v>8692.6579999999994</v>
      </c>
      <c r="R43" s="11">
        <f t="shared" si="6"/>
        <v>9206.7970000000005</v>
      </c>
      <c r="S43" s="11">
        <f t="shared" si="6"/>
        <v>8939.723</v>
      </c>
      <c r="T43" s="11">
        <f t="shared" si="6"/>
        <v>7684.076</v>
      </c>
      <c r="U43" s="11">
        <f t="shared" si="6"/>
        <v>6681.0969999999998</v>
      </c>
      <c r="V43" s="11">
        <f t="shared" si="6"/>
        <v>5813.9669999999996</v>
      </c>
    </row>
    <row r="44" spans="1:22" ht="20" thickBot="1" x14ac:dyDescent="0.3">
      <c r="A44" s="6" t="s">
        <v>49</v>
      </c>
      <c r="B44" s="10">
        <f>B43+B34</f>
        <v>64166</v>
      </c>
      <c r="C44" s="10">
        <f t="shared" ref="C44:Q44" si="7">C43+C34</f>
        <v>59268</v>
      </c>
      <c r="D44" s="10">
        <f t="shared" si="7"/>
        <v>55556</v>
      </c>
      <c r="E44" s="10">
        <f t="shared" si="7"/>
        <v>45400</v>
      </c>
      <c r="F44" s="10">
        <f t="shared" si="7"/>
        <v>40830</v>
      </c>
      <c r="G44" s="10">
        <f t="shared" si="7"/>
        <v>36347</v>
      </c>
      <c r="H44" s="10">
        <f t="shared" si="7"/>
        <v>33163</v>
      </c>
      <c r="I44" s="10">
        <f t="shared" si="7"/>
        <v>33017</v>
      </c>
      <c r="J44" s="10">
        <f t="shared" si="7"/>
        <v>33024</v>
      </c>
      <c r="K44" s="10">
        <f t="shared" si="7"/>
        <v>30283</v>
      </c>
      <c r="L44" s="10">
        <f t="shared" si="7"/>
        <v>27140</v>
      </c>
      <c r="M44" s="10">
        <f t="shared" si="7"/>
        <v>26761</v>
      </c>
      <c r="N44" s="10">
        <f t="shared" si="7"/>
        <v>23815</v>
      </c>
      <c r="O44" s="10">
        <f t="shared" si="7"/>
        <v>21979</v>
      </c>
      <c r="P44" s="10">
        <f t="shared" si="7"/>
        <v>20682</v>
      </c>
      <c r="Q44" s="10">
        <f t="shared" si="7"/>
        <v>19606.585999999999</v>
      </c>
      <c r="R44" s="10">
        <f>R43+R34</f>
        <v>17495.07</v>
      </c>
      <c r="S44" s="10">
        <f t="shared" ref="S44:V44" si="8">S43+S34</f>
        <v>16665.205000000002</v>
      </c>
      <c r="T44" s="10">
        <f t="shared" si="8"/>
        <v>15092.548000000001</v>
      </c>
      <c r="U44" s="10">
        <f t="shared" si="8"/>
        <v>13191.688000000002</v>
      </c>
      <c r="V44" s="10">
        <f t="shared" si="8"/>
        <v>11620.262999999999</v>
      </c>
    </row>
    <row r="45" spans="1:22" ht="20" thickTop="1" x14ac:dyDescent="0.25">
      <c r="B45" s="9">
        <f>B44-B18</f>
        <v>0</v>
      </c>
      <c r="C45" s="9">
        <f t="shared" ref="C45:V45" si="9">C44-C18</f>
        <v>0</v>
      </c>
      <c r="D45" s="9">
        <f t="shared" si="9"/>
        <v>0</v>
      </c>
      <c r="E45" s="9">
        <f t="shared" si="9"/>
        <v>0</v>
      </c>
      <c r="F45" s="9">
        <f t="shared" si="9"/>
        <v>0</v>
      </c>
      <c r="G45" s="9">
        <f t="shared" si="9"/>
        <v>0</v>
      </c>
      <c r="H45" s="9">
        <f t="shared" si="9"/>
        <v>0</v>
      </c>
      <c r="I45" s="9">
        <f t="shared" si="9"/>
        <v>0</v>
      </c>
      <c r="J45" s="9">
        <f t="shared" si="9"/>
        <v>0</v>
      </c>
      <c r="K45" s="9">
        <f t="shared" si="9"/>
        <v>0</v>
      </c>
      <c r="L45" s="9">
        <f t="shared" si="9"/>
        <v>0</v>
      </c>
      <c r="M45" s="9">
        <f t="shared" si="9"/>
        <v>0</v>
      </c>
      <c r="N45" s="9">
        <f t="shared" si="9"/>
        <v>0</v>
      </c>
      <c r="O45" s="9">
        <f t="shared" si="9"/>
        <v>0</v>
      </c>
      <c r="P45" s="9">
        <f t="shared" si="9"/>
        <v>0</v>
      </c>
      <c r="Q45" s="9">
        <f t="shared" si="9"/>
        <v>0</v>
      </c>
      <c r="R45" s="9">
        <f t="shared" si="9"/>
        <v>0</v>
      </c>
      <c r="S45" s="9">
        <f t="shared" si="9"/>
        <v>0</v>
      </c>
      <c r="T45" s="9">
        <f t="shared" si="9"/>
        <v>0</v>
      </c>
      <c r="U45" s="9">
        <f t="shared" si="9"/>
        <v>0</v>
      </c>
      <c r="V45" s="9">
        <f t="shared" si="9"/>
        <v>0</v>
      </c>
    </row>
    <row r="46" spans="1:22" x14ac:dyDescent="0.25">
      <c r="A46" s="1" t="s">
        <v>6</v>
      </c>
      <c r="B46" s="18">
        <v>442.66399999999999</v>
      </c>
      <c r="C46" s="18">
        <v>441.82499999999999</v>
      </c>
      <c r="D46" s="18">
        <v>441.255</v>
      </c>
      <c r="E46" s="18">
        <v>439.625</v>
      </c>
      <c r="F46" s="18">
        <v>438.18900000000002</v>
      </c>
      <c r="G46" s="18">
        <v>437.20400000000001</v>
      </c>
      <c r="H46" s="18">
        <v>437.524</v>
      </c>
      <c r="I46" s="18">
        <v>437.952</v>
      </c>
      <c r="J46" s="19">
        <v>437.68299999999999</v>
      </c>
      <c r="K46" s="18">
        <v>436.839</v>
      </c>
      <c r="L46" s="18">
        <v>432.35</v>
      </c>
      <c r="M46" s="18">
        <v>434.26600000000002</v>
      </c>
      <c r="N46" s="18">
        <v>433.51</v>
      </c>
      <c r="O46" s="18">
        <v>435.97399999999999</v>
      </c>
      <c r="P46" s="18">
        <v>432.51299999999998</v>
      </c>
      <c r="Q46" s="18">
        <v>437.01299999999998</v>
      </c>
      <c r="R46" s="18">
        <v>462.279</v>
      </c>
      <c r="S46" s="18">
        <v>472.48</v>
      </c>
      <c r="T46" s="18">
        <v>462.637</v>
      </c>
      <c r="U46" s="18">
        <v>457.47899999999998</v>
      </c>
      <c r="V46" s="18">
        <v>455.32499999999999</v>
      </c>
    </row>
    <row r="47" spans="1:22" x14ac:dyDescent="0.25">
      <c r="A47" s="1" t="s">
        <v>7</v>
      </c>
      <c r="B47" s="13">
        <f>B41/B46</f>
        <v>46.631305007861492</v>
      </c>
      <c r="C47" s="13">
        <f t="shared" ref="C47:V47" si="10">C41/C46</f>
        <v>39.753295988230633</v>
      </c>
      <c r="D47" s="13">
        <f t="shared" si="10"/>
        <v>41.436357661669554</v>
      </c>
      <c r="E47" s="13">
        <f t="shared" si="10"/>
        <v>34.672732442422522</v>
      </c>
      <c r="F47" s="13">
        <f t="shared" si="10"/>
        <v>29.20885736520086</v>
      </c>
      <c r="G47" s="13">
        <f t="shared" si="10"/>
        <v>24.652107483005643</v>
      </c>
      <c r="H47" s="13">
        <f t="shared" si="10"/>
        <v>27.607628381528784</v>
      </c>
      <c r="I47" s="13">
        <f t="shared" si="10"/>
        <v>24.24238272687418</v>
      </c>
      <c r="J47" s="13">
        <f t="shared" si="10"/>
        <v>28.109385102916953</v>
      </c>
      <c r="K47" s="13">
        <f t="shared" si="10"/>
        <v>24.798610014215765</v>
      </c>
      <c r="L47" s="13">
        <f t="shared" si="10"/>
        <v>28.590262518792642</v>
      </c>
      <c r="M47" s="13">
        <f t="shared" si="10"/>
        <v>27.637438804787848</v>
      </c>
      <c r="N47" s="13">
        <f t="shared" si="10"/>
        <v>24.979815921201357</v>
      </c>
      <c r="O47" s="13">
        <f t="shared" si="10"/>
        <v>22.992196782376933</v>
      </c>
      <c r="P47" s="13">
        <f t="shared" si="10"/>
        <v>21.25254038606932</v>
      </c>
      <c r="Q47" s="13">
        <f t="shared" si="10"/>
        <v>19.732458759808061</v>
      </c>
      <c r="R47" s="13">
        <f t="shared" si="10"/>
        <v>19.779049015854063</v>
      </c>
      <c r="S47" s="13">
        <f t="shared" si="10"/>
        <v>18.796793515069421</v>
      </c>
      <c r="T47" s="13">
        <f t="shared" si="10"/>
        <v>16.481193678845404</v>
      </c>
      <c r="U47" s="13">
        <f t="shared" si="10"/>
        <v>14.328482837463577</v>
      </c>
      <c r="V47" s="13">
        <f t="shared" si="10"/>
        <v>12.505873826387745</v>
      </c>
    </row>
    <row r="48" spans="1:22" x14ac:dyDescent="0.25">
      <c r="B48" s="9"/>
      <c r="C48" s="9"/>
      <c r="D48" s="9"/>
      <c r="E48" s="9"/>
      <c r="F48" s="9"/>
      <c r="G48" s="9"/>
      <c r="H48" s="9"/>
      <c r="I48" s="9"/>
      <c r="K48" s="9"/>
      <c r="L48" s="9"/>
    </row>
    <row r="49" spans="1:22" x14ac:dyDescent="0.25">
      <c r="A49" s="1" t="s">
        <v>51</v>
      </c>
      <c r="B49" s="9">
        <f>B27+B31+B26</f>
        <v>6557</v>
      </c>
      <c r="C49" s="9">
        <f t="shared" ref="C49:Q49" si="11">C27+C31+C26</f>
        <v>7491</v>
      </c>
      <c r="D49" s="9">
        <f t="shared" si="11"/>
        <v>7609</v>
      </c>
      <c r="E49" s="9">
        <f t="shared" si="11"/>
        <v>6823</v>
      </c>
      <c r="F49" s="9">
        <f t="shared" si="11"/>
        <v>6577</v>
      </c>
      <c r="G49" s="9">
        <f t="shared" si="11"/>
        <v>6659</v>
      </c>
      <c r="H49" s="9">
        <f t="shared" si="11"/>
        <v>5161</v>
      </c>
      <c r="I49" s="9">
        <f t="shared" si="11"/>
        <v>6135</v>
      </c>
      <c r="J49" s="9">
        <f t="shared" si="11"/>
        <v>5093</v>
      </c>
      <c r="K49" s="9">
        <f t="shared" si="11"/>
        <v>4998</v>
      </c>
      <c r="L49" s="9">
        <f t="shared" si="11"/>
        <v>1382</v>
      </c>
      <c r="M49" s="9">
        <f t="shared" si="11"/>
        <v>2153</v>
      </c>
      <c r="N49" s="9">
        <f t="shared" si="11"/>
        <v>2167</v>
      </c>
      <c r="O49" s="9">
        <f>O27+O31+O26</f>
        <v>2227</v>
      </c>
      <c r="P49" s="9">
        <f t="shared" si="11"/>
        <v>2346</v>
      </c>
      <c r="Q49" s="9">
        <f t="shared" si="11"/>
        <v>2221.7150000000001</v>
      </c>
      <c r="R49" s="9">
        <f>R27+R31+R26</f>
        <v>565.27700000000004</v>
      </c>
      <c r="S49" s="9">
        <f t="shared" ref="S49:V49" si="12">S27+S31+S26</f>
        <v>768.25599999999997</v>
      </c>
      <c r="T49" s="9">
        <f t="shared" si="12"/>
        <v>1320.9349999999999</v>
      </c>
      <c r="U49" s="9">
        <f t="shared" si="12"/>
        <v>1344.1209999999999</v>
      </c>
      <c r="V49" s="9">
        <f t="shared" si="12"/>
        <v>1314.4119999999998</v>
      </c>
    </row>
    <row r="50" spans="1:22" x14ac:dyDescent="0.25">
      <c r="A50" s="1" t="s">
        <v>277</v>
      </c>
      <c r="B50" s="9">
        <f>B43</f>
        <v>20647</v>
      </c>
      <c r="C50" s="9">
        <f t="shared" ref="C50:V50" si="13">C43</f>
        <v>18078</v>
      </c>
      <c r="D50" s="9">
        <f t="shared" si="13"/>
        <v>18705</v>
      </c>
      <c r="E50" s="9">
        <f t="shared" si="13"/>
        <v>15584</v>
      </c>
      <c r="F50" s="9">
        <f t="shared" si="13"/>
        <v>13103</v>
      </c>
      <c r="G50" s="9">
        <f t="shared" si="13"/>
        <v>11079</v>
      </c>
      <c r="H50" s="9">
        <f t="shared" si="13"/>
        <v>12332</v>
      </c>
      <c r="I50" s="9">
        <f t="shared" si="13"/>
        <v>10843</v>
      </c>
      <c r="J50" s="9">
        <f t="shared" si="13"/>
        <v>12515</v>
      </c>
      <c r="K50" s="9">
        <f t="shared" si="13"/>
        <v>11012</v>
      </c>
      <c r="L50" s="9">
        <f t="shared" si="13"/>
        <v>12518</v>
      </c>
      <c r="M50" s="9">
        <f t="shared" si="13"/>
        <v>12573</v>
      </c>
      <c r="N50" s="9">
        <f t="shared" si="13"/>
        <v>10930</v>
      </c>
      <c r="O50" s="9">
        <f t="shared" si="13"/>
        <v>10104</v>
      </c>
      <c r="P50" s="9">
        <f t="shared" si="13"/>
        <v>9274</v>
      </c>
      <c r="Q50" s="9">
        <f t="shared" si="13"/>
        <v>8692.6579999999994</v>
      </c>
      <c r="R50" s="9">
        <f t="shared" si="13"/>
        <v>9206.7970000000005</v>
      </c>
      <c r="S50" s="9">
        <f t="shared" si="13"/>
        <v>8939.723</v>
      </c>
      <c r="T50" s="9">
        <f t="shared" si="13"/>
        <v>7684.076</v>
      </c>
      <c r="U50" s="9">
        <f t="shared" si="13"/>
        <v>6681.0969999999998</v>
      </c>
      <c r="V50" s="9">
        <f t="shared" si="13"/>
        <v>5813.9669999999996</v>
      </c>
    </row>
    <row r="51" spans="1:22" ht="20" thickBot="1" x14ac:dyDescent="0.3">
      <c r="A51" s="6" t="s">
        <v>52</v>
      </c>
      <c r="B51" s="10">
        <f>SUM(B49:B50)</f>
        <v>27204</v>
      </c>
      <c r="C51" s="10">
        <f t="shared" ref="C51:G51" si="14">SUM(C49:C50)</f>
        <v>25569</v>
      </c>
      <c r="D51" s="10">
        <f t="shared" si="14"/>
        <v>26314</v>
      </c>
      <c r="E51" s="10">
        <f t="shared" si="14"/>
        <v>22407</v>
      </c>
      <c r="F51" s="10">
        <f t="shared" si="14"/>
        <v>19680</v>
      </c>
      <c r="G51" s="10">
        <f t="shared" si="14"/>
        <v>17738</v>
      </c>
      <c r="H51" s="10">
        <f t="shared" ref="H51" si="15">SUM(H49:H50)</f>
        <v>17493</v>
      </c>
      <c r="I51" s="10">
        <f t="shared" ref="I51" si="16">SUM(I49:I50)</f>
        <v>16978</v>
      </c>
      <c r="J51" s="10">
        <f t="shared" ref="J51" si="17">SUM(J49:J50)</f>
        <v>17608</v>
      </c>
      <c r="K51" s="10">
        <f t="shared" ref="K51:L51" si="18">SUM(K49:K50)</f>
        <v>16010</v>
      </c>
      <c r="L51" s="10">
        <f t="shared" si="18"/>
        <v>13900</v>
      </c>
      <c r="M51" s="10">
        <f t="shared" ref="M51" si="19">SUM(M49:M50)</f>
        <v>14726</v>
      </c>
      <c r="N51" s="10">
        <f t="shared" ref="N51" si="20">SUM(N49:N50)</f>
        <v>13097</v>
      </c>
      <c r="O51" s="10">
        <f t="shared" ref="O51" si="21">SUM(O49:O50)</f>
        <v>12331</v>
      </c>
      <c r="P51" s="10">
        <f t="shared" ref="P51:Q51" si="22">SUM(P49:P50)</f>
        <v>11620</v>
      </c>
      <c r="Q51" s="10">
        <f t="shared" si="22"/>
        <v>10914.373</v>
      </c>
      <c r="R51" s="10">
        <f t="shared" ref="R51" si="23">SUM(R49:R50)</f>
        <v>9772.0740000000005</v>
      </c>
      <c r="S51" s="10">
        <f t="shared" ref="S51" si="24">SUM(S49:S50)</f>
        <v>9707.9789999999994</v>
      </c>
      <c r="T51" s="10">
        <f t="shared" ref="T51" si="25">SUM(T49:T50)</f>
        <v>9005.0110000000004</v>
      </c>
      <c r="U51" s="10">
        <f t="shared" ref="U51:V51" si="26">SUM(U49:U50)</f>
        <v>8025.2179999999998</v>
      </c>
      <c r="V51" s="10">
        <f t="shared" si="26"/>
        <v>7128.378999999999</v>
      </c>
    </row>
    <row r="52" spans="1:22" ht="20" thickTop="1" x14ac:dyDescent="0.25">
      <c r="B52" s="41"/>
      <c r="C52" s="41"/>
      <c r="D52" s="41"/>
      <c r="E52" s="41"/>
      <c r="F52" s="41"/>
      <c r="G52" s="41"/>
      <c r="H52" s="41"/>
      <c r="I52" s="41"/>
      <c r="J52" s="41"/>
      <c r="K52" s="41"/>
      <c r="L52" s="41"/>
      <c r="M52" s="41"/>
      <c r="N52" s="41"/>
      <c r="O52" s="41"/>
      <c r="P52" s="41"/>
      <c r="Q52" s="41"/>
      <c r="R52" s="41"/>
      <c r="S52" s="41"/>
      <c r="T52" s="41"/>
      <c r="U52" s="41"/>
      <c r="V52" s="41"/>
    </row>
    <row r="53" spans="1:22" x14ac:dyDescent="0.25">
      <c r="A53" s="22" t="s">
        <v>53</v>
      </c>
      <c r="B53" s="27">
        <f>B49/B51</f>
        <v>0.24103073077488604</v>
      </c>
      <c r="C53" s="27">
        <f t="shared" ref="C53:L53" si="27">C49/C51</f>
        <v>0.29297195823066996</v>
      </c>
      <c r="D53" s="27">
        <f t="shared" si="27"/>
        <v>0.28916166299308355</v>
      </c>
      <c r="E53" s="27">
        <f t="shared" si="27"/>
        <v>0.30450305708037667</v>
      </c>
      <c r="F53" s="27">
        <f t="shared" si="27"/>
        <v>0.33419715447154469</v>
      </c>
      <c r="G53" s="27">
        <f t="shared" si="27"/>
        <v>0.37540872702672229</v>
      </c>
      <c r="H53" s="27">
        <f t="shared" si="27"/>
        <v>0.2950322986337392</v>
      </c>
      <c r="I53" s="27">
        <f t="shared" si="27"/>
        <v>0.3613499823300742</v>
      </c>
      <c r="J53" s="27">
        <f t="shared" si="27"/>
        <v>0.28924352567014994</v>
      </c>
      <c r="K53" s="27">
        <f t="shared" si="27"/>
        <v>0.3121798875702686</v>
      </c>
      <c r="L53" s="27">
        <f t="shared" si="27"/>
        <v>9.9424460431654677E-2</v>
      </c>
      <c r="M53" s="27">
        <f t="shared" ref="M53" si="28">M49/M51</f>
        <v>0.14620399293766129</v>
      </c>
      <c r="N53" s="27">
        <f>N49/N51</f>
        <v>0.1654577384133771</v>
      </c>
      <c r="O53" s="27">
        <f t="shared" ref="O53:V53" si="29">O49/O51</f>
        <v>0.18060173546346606</v>
      </c>
      <c r="P53" s="27">
        <f t="shared" si="29"/>
        <v>0.20189328743545612</v>
      </c>
      <c r="Q53" s="27">
        <f t="shared" si="29"/>
        <v>0.20355864693281053</v>
      </c>
      <c r="R53" s="27">
        <f t="shared" si="29"/>
        <v>5.7846164488725732E-2</v>
      </c>
      <c r="S53" s="27">
        <f t="shared" si="29"/>
        <v>7.9136553550435168E-2</v>
      </c>
      <c r="T53" s="27">
        <f t="shared" si="29"/>
        <v>0.1466888824455628</v>
      </c>
      <c r="U53" s="27">
        <f t="shared" si="29"/>
        <v>0.1674871635885779</v>
      </c>
      <c r="V53" s="27">
        <f t="shared" si="29"/>
        <v>0.18439143036586578</v>
      </c>
    </row>
    <row r="54" spans="1:22" x14ac:dyDescent="0.25">
      <c r="B54" s="9"/>
      <c r="C54" s="9"/>
      <c r="D54" s="9"/>
      <c r="E54" s="9"/>
      <c r="F54" s="9"/>
      <c r="G54" s="9"/>
      <c r="H54" s="9"/>
      <c r="I54" s="9"/>
      <c r="K54" s="9"/>
      <c r="L54" s="9"/>
    </row>
    <row r="55" spans="1:22" x14ac:dyDescent="0.25">
      <c r="A55" s="1" t="s">
        <v>159</v>
      </c>
      <c r="B55" s="13">
        <f>B13/B29</f>
        <v>1.0218138633664604</v>
      </c>
      <c r="C55" s="13">
        <f t="shared" ref="C55:V55" si="30">C13/C29</f>
        <v>1.0021738392038313</v>
      </c>
      <c r="D55" s="13">
        <f t="shared" si="30"/>
        <v>1.1318628240218966</v>
      </c>
      <c r="E55" s="13">
        <f t="shared" si="30"/>
        <v>1.0106726341610364</v>
      </c>
      <c r="F55" s="13">
        <f t="shared" si="30"/>
        <v>1.0182174043962662</v>
      </c>
      <c r="G55" s="13">
        <f t="shared" si="30"/>
        <v>0.98982566447556442</v>
      </c>
      <c r="H55" s="13">
        <f t="shared" si="30"/>
        <v>0.97707865168539321</v>
      </c>
      <c r="I55" s="13">
        <f t="shared" si="30"/>
        <v>1.0145111554507527</v>
      </c>
      <c r="J55" s="13">
        <f t="shared" si="30"/>
        <v>1.2203719122953094</v>
      </c>
      <c r="K55" s="13">
        <f t="shared" si="30"/>
        <v>1.1948404616429056</v>
      </c>
      <c r="L55" s="13">
        <f t="shared" si="30"/>
        <v>1.1032626427406198</v>
      </c>
      <c r="M55" s="13">
        <f t="shared" si="30"/>
        <v>1.1374273858921162</v>
      </c>
      <c r="N55" s="13">
        <f t="shared" si="30"/>
        <v>1.1634701381297823</v>
      </c>
      <c r="O55" s="13">
        <f t="shared" si="30"/>
        <v>1.1137808425816185</v>
      </c>
      <c r="P55" s="13">
        <f t="shared" si="30"/>
        <v>1.0662609871534821</v>
      </c>
      <c r="Q55" s="13">
        <f t="shared" si="30"/>
        <v>1.0865091316424511</v>
      </c>
      <c r="R55" s="13">
        <f t="shared" si="30"/>
        <v>1.0528048234145961</v>
      </c>
      <c r="S55" s="13">
        <f t="shared" si="30"/>
        <v>1.2185424027706675</v>
      </c>
      <c r="T55" s="13">
        <f t="shared" si="30"/>
        <v>1.1780309696866569</v>
      </c>
      <c r="U55" s="13">
        <f t="shared" si="30"/>
        <v>1.1397757022550106</v>
      </c>
      <c r="V55" s="13">
        <f t="shared" si="30"/>
        <v>1.0406329997777395</v>
      </c>
    </row>
    <row r="56" spans="1:22" x14ac:dyDescent="0.25">
      <c r="B56" s="13"/>
      <c r="C56" s="13"/>
      <c r="D56" s="13"/>
      <c r="E56" s="13"/>
      <c r="F56" s="13"/>
      <c r="G56" s="13"/>
      <c r="H56" s="13"/>
      <c r="I56" s="13"/>
      <c r="J56" s="13"/>
      <c r="K56" s="13"/>
      <c r="L56" s="13"/>
      <c r="M56" s="13"/>
      <c r="N56" s="13"/>
      <c r="O56" s="13"/>
      <c r="P56" s="13"/>
      <c r="Q56" s="13"/>
      <c r="R56" s="13"/>
      <c r="S56" s="13"/>
      <c r="T56" s="13"/>
      <c r="U56" s="13"/>
      <c r="V56" s="13"/>
    </row>
    <row r="57" spans="1:22" x14ac:dyDescent="0.25">
      <c r="A57" s="1" t="s">
        <v>160</v>
      </c>
      <c r="B57" s="17">
        <f>'Operating Summary &amp; Stats'!B22/AVERAGE('Balance Sheet'!B41:C41)</f>
        <v>0.30592053604145947</v>
      </c>
      <c r="C57" s="17">
        <f>'Operating Summary &amp; Stats'!C22/AVERAGE('Balance Sheet'!C41:D41)</f>
        <v>0.27934612809640708</v>
      </c>
      <c r="D57" s="17">
        <f>'Operating Summary &amp; Stats'!D22/AVERAGE('Balance Sheet'!D41:E41)</f>
        <v>0.23873296149372147</v>
      </c>
      <c r="E57" s="17">
        <f>'Operating Summary &amp; Stats'!E22/AVERAGE('Balance Sheet'!E41:F41)</f>
        <v>0.26096569431566935</v>
      </c>
      <c r="F57" s="17">
        <f>'Operating Summary &amp; Stats'!F22/AVERAGE('Balance Sheet'!F41:G41)</f>
        <v>0.26585231369555073</v>
      </c>
      <c r="G57" s="17">
        <f>'Operating Summary &amp; Stats'!G22/AVERAGE('Balance Sheet'!G41:H41)</f>
        <v>0.23441396508728179</v>
      </c>
      <c r="H57" s="17">
        <f>'Operating Summary &amp; Stats'!H22/AVERAGE('Balance Sheet'!H41:I41)</f>
        <v>0.20708494888967219</v>
      </c>
      <c r="I57" s="17">
        <f>'Operating Summary &amp; Stats'!I22/AVERAGE('Balance Sheet'!I41:J41)</f>
        <v>0.20741710296684118</v>
      </c>
      <c r="J57" s="17">
        <f>'Operating Summary &amp; Stats'!J22/AVERAGE('Balance Sheet'!J41:K41)</f>
        <v>0.1779045643153527</v>
      </c>
      <c r="K57" s="17">
        <f>'Operating Summary &amp; Stats'!K22/AVERAGE('Balance Sheet'!K41:L41)</f>
        <v>0.17582133310338879</v>
      </c>
      <c r="L57" s="17">
        <f>'Operating Summary &amp; Stats'!L22/AVERAGE('Balance Sheet'!L41:M41)</f>
        <v>0.14029470919016543</v>
      </c>
      <c r="M57" s="17">
        <f>'Operating Summary &amp; Stats'!M22/AVERAGE('Balance Sheet'!M41:N41)</f>
        <v>0.12807148175725985</v>
      </c>
      <c r="N57" s="17">
        <f>'Operating Summary &amp; Stats'!N22/AVERAGE('Balance Sheet'!N41:O41)</f>
        <v>0.12497002829329114</v>
      </c>
      <c r="O57" s="17">
        <f>'Operating Summary &amp; Stats'!O22/AVERAGE('Balance Sheet'!O41:P41)</f>
        <v>0.1130308076602831</v>
      </c>
      <c r="P57" s="17">
        <f>'Operating Summary &amp; Stats'!P22/AVERAGE('Balance Sheet'!P41:Q41)</f>
        <v>0.14400229554965885</v>
      </c>
      <c r="Q57" s="17">
        <f>'Operating Summary &amp; Stats'!Q22/AVERAGE('Balance Sheet'!Q41:R41)</f>
        <v>0.12188725250157913</v>
      </c>
      <c r="R57" s="17">
        <f>'Operating Summary &amp; Stats'!R22/AVERAGE('Balance Sheet'!R41:S41)</f>
        <v>0.12241250099586302</v>
      </c>
      <c r="S57" s="17">
        <f>'Operating Summary &amp; Stats'!S22/AVERAGE('Balance Sheet'!S41:T41)</f>
        <v>0.12881342747410793</v>
      </c>
      <c r="T57" s="17">
        <f>'Operating Summary &amp; Stats'!T22/AVERAGE('Balance Sheet'!T41:U41)</f>
        <v>0.12445783752791739</v>
      </c>
      <c r="U57" s="17">
        <f>'Operating Summary &amp; Stats'!U22/AVERAGE('Balance Sheet'!U41:V41)</f>
        <v>0.11772181030020193</v>
      </c>
      <c r="V57" s="17"/>
    </row>
    <row r="58" spans="1:22" x14ac:dyDescent="0.25">
      <c r="A58" s="1" t="s">
        <v>161</v>
      </c>
      <c r="B58" s="17">
        <f>'Operating Summary &amp; Stats'!B22/AVERAGE('Balance Sheet'!B51:C51)</f>
        <v>0.2214768915922915</v>
      </c>
      <c r="C58" s="17">
        <f>'Operating Summary &amp; Stats'!C22/AVERAGE('Balance Sheet'!C51:D51)</f>
        <v>0.19301119827303742</v>
      </c>
      <c r="D58" s="17">
        <f>'Operating Summary &amp; Stats'!D22/AVERAGE('Balance Sheet'!D51:E51)</f>
        <v>0.16428234231645492</v>
      </c>
      <c r="E58" s="17">
        <f>'Operating Summary &amp; Stats'!E22/AVERAGE('Balance Sheet'!E51:F51)</f>
        <v>0.17387791954760376</v>
      </c>
      <c r="F58" s="17">
        <f>'Operating Summary &amp; Stats'!F22/AVERAGE('Balance Sheet'!F51:G51)</f>
        <v>0.16751296167619861</v>
      </c>
      <c r="G58" s="17">
        <f>'Operating Summary &amp; Stats'!G22/AVERAGE('Balance Sheet'!G51:H51)</f>
        <v>0.15208197326218387</v>
      </c>
      <c r="H58" s="17">
        <f>'Operating Summary &amp; Stats'!H22/AVERAGE('Balance Sheet'!H51:I51)</f>
        <v>0.1363464941545067</v>
      </c>
      <c r="I58" s="17">
        <f>'Operating Summary &amp; Stats'!I22/AVERAGE('Balance Sheet'!I51:J51)</f>
        <v>0.13745446134273984</v>
      </c>
      <c r="J58" s="17">
        <f>'Operating Summary &amp; Stats'!J22/AVERAGE('Balance Sheet'!J51:K51)</f>
        <v>0.12243441013742638</v>
      </c>
      <c r="K58" s="17">
        <f>'Operating Summary &amp; Stats'!K22/AVERAGE('Balance Sheet'!K51:L51)</f>
        <v>0.13634236041457706</v>
      </c>
      <c r="L58" s="17">
        <f>'Operating Summary &amp; Stats'!L22/AVERAGE('Balance Sheet'!L51:M51)</f>
        <v>0.11940194229022567</v>
      </c>
      <c r="M58" s="17">
        <f>'Operating Summary &amp; Stats'!M22/AVERAGE('Balance Sheet'!M51:N51)</f>
        <v>0.10509290874456385</v>
      </c>
      <c r="N58" s="17">
        <f>'Operating Summary &amp; Stats'!N22/AVERAGE('Balance Sheet'!N51:O51)</f>
        <v>0.10248544911121599</v>
      </c>
      <c r="O58" s="17">
        <f>'Operating Summary &amp; Stats'!O22/AVERAGE('Balance Sheet'!O51:P51)</f>
        <v>9.0685148845559685E-2</v>
      </c>
      <c r="P58" s="17">
        <f>'Operating Summary &amp; Stats'!P22/AVERAGE('Balance Sheet'!P51:Q51)</f>
        <v>0.11384607861066091</v>
      </c>
      <c r="Q58" s="17">
        <f>'Operating Summary &amp; Stats'!Q22/AVERAGE('Balance Sheet'!Q51:R51)</f>
        <v>0.10468419250536382</v>
      </c>
      <c r="R58" s="17">
        <f>'Operating Summary &amp; Stats'!R22/AVERAGE('Balance Sheet'!R51:S51)</f>
        <v>0.11326611893714977</v>
      </c>
      <c r="S58" s="17">
        <f>'Operating Summary &amp; Stats'!S22/AVERAGE('Balance Sheet'!S51:T51)</f>
        <v>0.11362075221543967</v>
      </c>
      <c r="T58" s="17">
        <f>'Operating Summary &amp; Stats'!T22/AVERAGE('Balance Sheet'!T51:U51)</f>
        <v>0.10362667466186085</v>
      </c>
      <c r="U58" s="17">
        <f>'Operating Summary &amp; Stats'!U22/AVERAGE('Balance Sheet'!U51:V51)</f>
        <v>9.5158924973391387E-2</v>
      </c>
    </row>
    <row r="59" spans="1:22" x14ac:dyDescent="0.25">
      <c r="B59" s="9"/>
      <c r="C59" s="9"/>
      <c r="D59" s="9"/>
      <c r="E59" s="9"/>
      <c r="F59" s="9"/>
      <c r="G59" s="9"/>
      <c r="H59" s="9"/>
      <c r="I59" s="9"/>
      <c r="K59" s="9"/>
      <c r="L59" s="9"/>
    </row>
    <row r="60" spans="1:22" x14ac:dyDescent="0.25">
      <c r="A60" s="1" t="s">
        <v>272</v>
      </c>
      <c r="B60" s="14">
        <f>B21/B11</f>
        <v>0.996705199084157</v>
      </c>
      <c r="C60" s="14">
        <f t="shared" ref="C60:V60" si="31">C21/C11</f>
        <v>1.1451283855082659</v>
      </c>
      <c r="D60" s="14">
        <f t="shared" si="31"/>
        <v>1.1576539781081523</v>
      </c>
      <c r="E60" s="14">
        <f t="shared" si="31"/>
        <v>1.0249232119350593</v>
      </c>
      <c r="F60" s="14">
        <f t="shared" si="31"/>
        <v>1.0178442028985508</v>
      </c>
      <c r="G60" s="14">
        <f t="shared" si="31"/>
        <v>0.97701850721984951</v>
      </c>
      <c r="H60" s="14">
        <f t="shared" si="31"/>
        <v>0.84870108150295465</v>
      </c>
      <c r="I60" s="14">
        <f t="shared" si="31"/>
        <v>1.0115626403233049</v>
      </c>
      <c r="J60" s="14">
        <f t="shared" si="31"/>
        <v>1.0041390728476822</v>
      </c>
      <c r="K60" s="14">
        <f t="shared" si="31"/>
        <v>0.99721307322016717</v>
      </c>
      <c r="L60" s="14">
        <f t="shared" si="31"/>
        <v>1.0291713641488163</v>
      </c>
      <c r="M60" s="14">
        <f t="shared" si="31"/>
        <v>0.98583910816511</v>
      </c>
      <c r="N60" s="14">
        <f t="shared" si="31"/>
        <v>1.0548066690315714</v>
      </c>
      <c r="O60" s="14">
        <f t="shared" si="31"/>
        <v>1.0083256244218317</v>
      </c>
      <c r="P60" s="14">
        <f t="shared" si="31"/>
        <v>1.0369120857312959</v>
      </c>
      <c r="Q60" s="14">
        <f t="shared" si="31"/>
        <v>1.0503180164218822</v>
      </c>
      <c r="R60" s="14">
        <f t="shared" si="31"/>
        <v>1.0044205162114097</v>
      </c>
      <c r="S60" s="14">
        <f t="shared" si="31"/>
        <v>1.0523020530306257</v>
      </c>
      <c r="T60" s="14">
        <f t="shared" si="31"/>
        <v>0.98809277126785833</v>
      </c>
      <c r="U60" s="14">
        <f t="shared" si="31"/>
        <v>0.93768154306665696</v>
      </c>
      <c r="V60" s="14">
        <f t="shared" si="31"/>
        <v>0.9223105754278319</v>
      </c>
    </row>
    <row r="61" spans="1:22" x14ac:dyDescent="0.25">
      <c r="A61" s="1" t="s">
        <v>162</v>
      </c>
      <c r="B61" s="18">
        <f>'Operating Summary &amp; Stats'!B10/AVERAGE('Balance Sheet'!B11:C11)</f>
        <v>12.414046447917315</v>
      </c>
      <c r="C61" s="18">
        <f>'Operating Summary &amp; Stats'!C10/AVERAGE('Balance Sheet'!C11:D11)</f>
        <v>12.902747855010016</v>
      </c>
      <c r="D61" s="18">
        <f>'Operating Summary &amp; Stats'!D10/AVERAGE('Balance Sheet'!D11:E11)</f>
        <v>12.263739053179338</v>
      </c>
      <c r="E61" s="18">
        <f>'Operating Summary &amp; Stats'!E10/AVERAGE('Balance Sheet'!E11:F11)</f>
        <v>11.846311566748383</v>
      </c>
      <c r="F61" s="18">
        <f>'Operating Summary &amp; Stats'!F10/AVERAGE('Balance Sheet'!F11:G11)</f>
        <v>11.799559260323848</v>
      </c>
      <c r="G61" s="18">
        <f>'Operating Summary &amp; Stats'!G10/AVERAGE('Balance Sheet'!G11:H11)</f>
        <v>11.900441418922512</v>
      </c>
      <c r="H61" s="18">
        <f>'Operating Summary &amp; Stats'!H10/AVERAGE('Balance Sheet'!H11:I11)</f>
        <v>11.512110533087206</v>
      </c>
      <c r="I61" s="18">
        <f>'Operating Summary &amp; Stats'!I10/AVERAGE('Balance Sheet'!I11:J11)</f>
        <v>11.640750979037088</v>
      </c>
      <c r="J61" s="18">
        <f>'Operating Summary &amp; Stats'!J10/AVERAGE('Balance Sheet'!J11:K11)</f>
        <v>12.043792048929664</v>
      </c>
      <c r="K61" s="18">
        <f>'Operating Summary &amp; Stats'!K10/AVERAGE('Balance Sheet'!K11:L11)</f>
        <v>12.267911941294196</v>
      </c>
      <c r="L61" s="18">
        <f>'Operating Summary &amp; Stats'!L10/AVERAGE('Balance Sheet'!L11:M11)</f>
        <v>12.643512450851901</v>
      </c>
      <c r="M61" s="18">
        <f>'Operating Summary &amp; Stats'!M10/AVERAGE('Balance Sheet'!M11:N11)</f>
        <v>12.665200391006843</v>
      </c>
      <c r="N61" s="18">
        <f>'Operating Summary &amp; Stats'!N10/AVERAGE('Balance Sheet'!N11:O11)</f>
        <v>12.314588427057865</v>
      </c>
      <c r="O61" s="18">
        <f>'Operating Summary &amp; Stats'!O10/AVERAGE('Balance Sheet'!O11:P11)</f>
        <v>11.936997319034852</v>
      </c>
      <c r="P61" s="18">
        <f>'Operating Summary &amp; Stats'!P10/AVERAGE('Balance Sheet'!P11:Q11)</f>
        <v>12.804955202241477</v>
      </c>
      <c r="Q61" s="18">
        <f>'Operating Summary &amp; Stats'!Q10/AVERAGE('Balance Sheet'!Q11:R11)</f>
        <v>11.958799652186697</v>
      </c>
      <c r="R61" s="18">
        <f>'Operating Summary &amp; Stats'!R10/AVERAGE('Balance Sheet'!R11:S11)</f>
        <v>12.300821216961751</v>
      </c>
      <c r="S61" s="18">
        <f>'Operating Summary &amp; Stats'!S10/AVERAGE('Balance Sheet'!S11:T11)</f>
        <v>12.103745695510902</v>
      </c>
      <c r="T61" s="18">
        <f>'Operating Summary &amp; Stats'!T10/AVERAGE('Balance Sheet'!T11:U11)</f>
        <v>12.055545650566598</v>
      </c>
      <c r="U61" s="18">
        <f>'Operating Summary &amp; Stats'!U10/AVERAGE('Balance Sheet'!U11:V11)</f>
        <v>11.516129296641894</v>
      </c>
    </row>
    <row r="62" spans="1:22" x14ac:dyDescent="0.25">
      <c r="B62" s="9"/>
      <c r="C62" s="9"/>
      <c r="D62" s="9"/>
      <c r="E62" s="9"/>
      <c r="F62" s="9"/>
      <c r="G62" s="9"/>
      <c r="H62" s="9"/>
      <c r="I62" s="9"/>
      <c r="K62" s="9"/>
      <c r="L62" s="9"/>
    </row>
    <row r="63" spans="1:22" x14ac:dyDescent="0.25">
      <c r="B63" s="9"/>
      <c r="C63" s="9"/>
      <c r="D63" s="9"/>
      <c r="E63" s="9"/>
      <c r="F63" s="9"/>
      <c r="G63" s="9"/>
      <c r="H63" s="9"/>
      <c r="I63" s="9"/>
      <c r="K63" s="9"/>
      <c r="L63" s="9"/>
    </row>
    <row r="64" spans="1:22" x14ac:dyDescent="0.25">
      <c r="B64" s="9"/>
      <c r="C64" s="9"/>
      <c r="D64" s="9"/>
      <c r="E64" s="9"/>
      <c r="F64" s="9"/>
      <c r="G64" s="9"/>
      <c r="H64" s="9"/>
      <c r="I64" s="9"/>
      <c r="K64" s="9"/>
      <c r="L64" s="9"/>
    </row>
    <row r="65" spans="2:22" x14ac:dyDescent="0.25">
      <c r="B65" s="9"/>
      <c r="C65" s="9"/>
      <c r="D65" s="9"/>
      <c r="E65" s="9"/>
      <c r="F65" s="9"/>
      <c r="G65" s="9"/>
      <c r="H65" s="9"/>
      <c r="I65" s="9"/>
      <c r="J65" s="9"/>
      <c r="K65" s="9"/>
      <c r="L65" s="9"/>
      <c r="M65" s="9"/>
      <c r="N65" s="9"/>
      <c r="O65" s="9"/>
      <c r="P65" s="9"/>
      <c r="Q65" s="9"/>
      <c r="R65" s="9"/>
      <c r="S65" s="9"/>
      <c r="T65" s="9"/>
      <c r="U65" s="9"/>
      <c r="V65" s="9"/>
    </row>
  </sheetData>
  <mergeCells count="3">
    <mergeCell ref="B3:V3"/>
    <mergeCell ref="N23:V23"/>
    <mergeCell ref="A1:C1"/>
  </mergeCells>
  <pageMargins left="0.7" right="0.7" top="0.75" bottom="0.75" header="0.3" footer="0.3"/>
  <pageSetup orientation="portrait" r:id="rId1"/>
  <ignoredErrors>
    <ignoredError sqref="B61:U6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193"/>
  <sheetViews>
    <sheetView workbookViewId="0"/>
  </sheetViews>
  <sheetFormatPr baseColWidth="10" defaultColWidth="9.1640625" defaultRowHeight="19" x14ac:dyDescent="0.25"/>
  <cols>
    <col min="1" max="1" width="61" style="1" customWidth="1"/>
    <col min="2" max="10" width="10.1640625" style="1" customWidth="1"/>
    <col min="11" max="11" width="10.1640625" style="8" customWidth="1"/>
    <col min="12" max="19" width="10.1640625" style="1" customWidth="1"/>
    <col min="20" max="22" width="9" style="1" bestFit="1" customWidth="1"/>
    <col min="23" max="27" width="10.1640625" style="1" customWidth="1"/>
    <col min="28" max="16384" width="9.1640625" style="1"/>
  </cols>
  <sheetData>
    <row r="1" spans="1:22" ht="24" x14ac:dyDescent="0.3">
      <c r="A1" s="25" t="s">
        <v>100</v>
      </c>
      <c r="B1" s="6"/>
      <c r="C1" s="6"/>
      <c r="D1" s="6"/>
      <c r="E1" s="6"/>
      <c r="F1" s="6"/>
      <c r="G1" s="6"/>
      <c r="H1" s="6"/>
      <c r="I1" s="6"/>
      <c r="J1" s="6"/>
    </row>
    <row r="2" spans="1:22" x14ac:dyDescent="0.25">
      <c r="A2" s="2" t="s">
        <v>279</v>
      </c>
      <c r="B2" s="2"/>
      <c r="C2" s="2"/>
      <c r="D2" s="2"/>
      <c r="E2" s="2"/>
      <c r="F2" s="2"/>
      <c r="G2" s="2"/>
      <c r="H2" s="2"/>
      <c r="I2" s="15"/>
      <c r="J2" s="15"/>
    </row>
    <row r="3" spans="1:22" x14ac:dyDescent="0.25">
      <c r="A3" s="26"/>
      <c r="B3" s="87" t="s">
        <v>22</v>
      </c>
      <c r="C3" s="87"/>
      <c r="D3" s="87"/>
      <c r="E3" s="87"/>
      <c r="F3" s="87"/>
      <c r="G3" s="87"/>
      <c r="H3" s="87"/>
      <c r="I3" s="87"/>
      <c r="J3" s="87"/>
      <c r="K3" s="87"/>
      <c r="L3" s="87"/>
      <c r="M3" s="87"/>
      <c r="N3" s="87"/>
      <c r="O3" s="87"/>
      <c r="P3" s="87"/>
      <c r="Q3" s="87"/>
      <c r="R3" s="87"/>
      <c r="S3" s="87"/>
      <c r="T3" s="87"/>
      <c r="U3" s="87"/>
      <c r="V3" s="87"/>
    </row>
    <row r="4" spans="1:22" s="6" customFormat="1" x14ac:dyDescent="0.25">
      <c r="A4" s="23" t="s">
        <v>17</v>
      </c>
      <c r="B4" s="5">
        <v>44801</v>
      </c>
      <c r="C4" s="5">
        <v>44437</v>
      </c>
      <c r="D4" s="5">
        <v>44073</v>
      </c>
      <c r="E4" s="5">
        <v>43709</v>
      </c>
      <c r="F4" s="5">
        <v>43345</v>
      </c>
      <c r="G4" s="5">
        <v>42981</v>
      </c>
      <c r="H4" s="5">
        <v>42610</v>
      </c>
      <c r="I4" s="5">
        <v>42246</v>
      </c>
      <c r="J4" s="5">
        <v>41882</v>
      </c>
      <c r="K4" s="5">
        <v>41518</v>
      </c>
      <c r="L4" s="5">
        <v>41154</v>
      </c>
      <c r="M4" s="5">
        <v>40783</v>
      </c>
      <c r="N4" s="5">
        <v>40419</v>
      </c>
      <c r="O4" s="5">
        <v>40055</v>
      </c>
      <c r="P4" s="5">
        <v>39691</v>
      </c>
      <c r="Q4" s="5">
        <v>39327</v>
      </c>
      <c r="R4" s="5">
        <v>38963</v>
      </c>
      <c r="S4" s="5">
        <v>38589</v>
      </c>
      <c r="T4" s="5">
        <v>38228</v>
      </c>
      <c r="U4" s="5">
        <v>37864</v>
      </c>
      <c r="V4" s="5">
        <v>37500</v>
      </c>
    </row>
    <row r="5" spans="1:22" x14ac:dyDescent="0.25">
      <c r="A5" s="6" t="s">
        <v>58</v>
      </c>
      <c r="B5" s="9"/>
      <c r="C5" s="9"/>
      <c r="D5" s="9"/>
      <c r="E5" s="9"/>
      <c r="F5" s="9"/>
      <c r="G5" s="9"/>
      <c r="H5" s="75"/>
      <c r="I5" s="9"/>
      <c r="J5" s="9"/>
      <c r="L5" s="9"/>
      <c r="M5" s="9"/>
      <c r="N5" s="9"/>
      <c r="O5" s="9"/>
    </row>
    <row r="6" spans="1:22" x14ac:dyDescent="0.25">
      <c r="A6" s="1" t="s">
        <v>54</v>
      </c>
      <c r="B6" s="9">
        <v>222730</v>
      </c>
      <c r="C6" s="9">
        <v>192052</v>
      </c>
      <c r="D6" s="9">
        <v>163220</v>
      </c>
      <c r="E6" s="9">
        <v>149351</v>
      </c>
      <c r="F6" s="9">
        <v>138434</v>
      </c>
      <c r="G6" s="9">
        <v>126172</v>
      </c>
      <c r="H6" s="9">
        <v>116073</v>
      </c>
      <c r="I6" s="9">
        <v>113666</v>
      </c>
      <c r="J6" s="9">
        <v>110212</v>
      </c>
      <c r="K6" s="8">
        <v>102870</v>
      </c>
      <c r="L6" s="9">
        <v>97062</v>
      </c>
      <c r="M6" s="9">
        <v>87048</v>
      </c>
      <c r="N6" s="9">
        <v>76255</v>
      </c>
      <c r="O6" s="9">
        <v>69889</v>
      </c>
      <c r="P6" s="9">
        <v>70977.483999999997</v>
      </c>
      <c r="Q6" s="9">
        <v>63087.601000000002</v>
      </c>
      <c r="R6" s="9">
        <v>58963.18</v>
      </c>
      <c r="S6" s="9">
        <v>51879.07</v>
      </c>
      <c r="T6" s="9">
        <v>47148.627</v>
      </c>
      <c r="U6" s="9">
        <v>41692.699000000001</v>
      </c>
      <c r="V6" s="9">
        <v>37993.093000000001</v>
      </c>
    </row>
    <row r="7" spans="1:22" x14ac:dyDescent="0.25">
      <c r="A7" s="1" t="s">
        <v>55</v>
      </c>
      <c r="B7" s="9">
        <v>4224</v>
      </c>
      <c r="C7" s="9">
        <v>3877</v>
      </c>
      <c r="D7" s="9">
        <v>3541</v>
      </c>
      <c r="E7" s="9">
        <v>3352</v>
      </c>
      <c r="F7" s="9">
        <v>3142</v>
      </c>
      <c r="G7" s="9">
        <v>2853</v>
      </c>
      <c r="H7" s="9">
        <v>2646</v>
      </c>
      <c r="I7" s="9">
        <v>2533</v>
      </c>
      <c r="J7" s="9">
        <v>2428</v>
      </c>
      <c r="K7" s="8">
        <v>2286</v>
      </c>
      <c r="L7" s="9">
        <v>2075</v>
      </c>
      <c r="M7" s="9">
        <v>1867</v>
      </c>
      <c r="N7" s="9">
        <v>1691</v>
      </c>
      <c r="O7" s="9">
        <v>1533</v>
      </c>
      <c r="P7" s="9">
        <v>1505.5360000000001</v>
      </c>
      <c r="Q7" s="9">
        <v>1312.5540000000001</v>
      </c>
      <c r="R7" s="9">
        <v>1188.047</v>
      </c>
      <c r="S7" s="9">
        <v>1073.1559999999999</v>
      </c>
      <c r="T7" s="9">
        <v>961.28</v>
      </c>
      <c r="U7" s="9">
        <v>852.85299999999995</v>
      </c>
      <c r="V7" s="9">
        <v>769.40599999999995</v>
      </c>
    </row>
    <row r="8" spans="1:22" x14ac:dyDescent="0.25">
      <c r="A8" s="6" t="s">
        <v>56</v>
      </c>
      <c r="B8" s="12">
        <f>SUM(B6:B7)</f>
        <v>226954</v>
      </c>
      <c r="C8" s="12">
        <f t="shared" ref="C8:V8" si="0">SUM(C6:C7)</f>
        <v>195929</v>
      </c>
      <c r="D8" s="12">
        <f t="shared" si="0"/>
        <v>166761</v>
      </c>
      <c r="E8" s="12">
        <f t="shared" si="0"/>
        <v>152703</v>
      </c>
      <c r="F8" s="12">
        <f t="shared" si="0"/>
        <v>141576</v>
      </c>
      <c r="G8" s="12">
        <f t="shared" si="0"/>
        <v>129025</v>
      </c>
      <c r="H8" s="12">
        <f t="shared" si="0"/>
        <v>118719</v>
      </c>
      <c r="I8" s="12">
        <f t="shared" si="0"/>
        <v>116199</v>
      </c>
      <c r="J8" s="12">
        <f t="shared" si="0"/>
        <v>112640</v>
      </c>
      <c r="K8" s="12">
        <f t="shared" si="0"/>
        <v>105156</v>
      </c>
      <c r="L8" s="12">
        <f t="shared" si="0"/>
        <v>99137</v>
      </c>
      <c r="M8" s="12">
        <f t="shared" si="0"/>
        <v>88915</v>
      </c>
      <c r="N8" s="12">
        <f t="shared" si="0"/>
        <v>77946</v>
      </c>
      <c r="O8" s="12">
        <f t="shared" si="0"/>
        <v>71422</v>
      </c>
      <c r="P8" s="12">
        <f t="shared" si="0"/>
        <v>72483.01999999999</v>
      </c>
      <c r="Q8" s="12">
        <f t="shared" si="0"/>
        <v>64400.154999999999</v>
      </c>
      <c r="R8" s="12">
        <f t="shared" si="0"/>
        <v>60151.226999999999</v>
      </c>
      <c r="S8" s="12">
        <f t="shared" si="0"/>
        <v>52952.226000000002</v>
      </c>
      <c r="T8" s="12">
        <f t="shared" si="0"/>
        <v>48109.906999999999</v>
      </c>
      <c r="U8" s="12">
        <f t="shared" si="0"/>
        <v>42545.552000000003</v>
      </c>
      <c r="V8" s="12">
        <f t="shared" si="0"/>
        <v>38762.499000000003</v>
      </c>
    </row>
    <row r="9" spans="1:22" x14ac:dyDescent="0.25">
      <c r="A9" s="6" t="s">
        <v>57</v>
      </c>
      <c r="B9" s="9"/>
      <c r="C9" s="9"/>
      <c r="D9" s="9"/>
      <c r="E9" s="9"/>
      <c r="F9" s="9"/>
      <c r="G9" s="9"/>
      <c r="H9" s="9"/>
      <c r="I9" s="9"/>
      <c r="J9" s="9"/>
      <c r="L9" s="9"/>
      <c r="M9" s="9"/>
      <c r="N9" s="9"/>
      <c r="O9" s="9"/>
      <c r="P9" s="9"/>
      <c r="Q9" s="9"/>
      <c r="R9" s="9"/>
      <c r="S9" s="9"/>
      <c r="T9" s="9"/>
      <c r="U9" s="9"/>
      <c r="V9" s="9"/>
    </row>
    <row r="10" spans="1:22" x14ac:dyDescent="0.25">
      <c r="A10" s="1" t="s">
        <v>59</v>
      </c>
      <c r="B10" s="9">
        <v>199382</v>
      </c>
      <c r="C10" s="9">
        <v>170684</v>
      </c>
      <c r="D10" s="9">
        <v>144939</v>
      </c>
      <c r="E10" s="9">
        <v>132886</v>
      </c>
      <c r="F10" s="9">
        <v>123152</v>
      </c>
      <c r="G10" s="9">
        <v>111882</v>
      </c>
      <c r="H10" s="9">
        <v>102901</v>
      </c>
      <c r="I10" s="9">
        <v>101065</v>
      </c>
      <c r="J10" s="9">
        <v>98458</v>
      </c>
      <c r="K10" s="8">
        <v>91948</v>
      </c>
      <c r="L10" s="9">
        <v>86823</v>
      </c>
      <c r="M10" s="9">
        <v>77739</v>
      </c>
      <c r="N10" s="9">
        <v>67995</v>
      </c>
      <c r="O10" s="9">
        <v>62335</v>
      </c>
      <c r="P10" s="9">
        <v>63502.75</v>
      </c>
      <c r="Q10" s="9">
        <v>56449.701999999997</v>
      </c>
      <c r="R10" s="9">
        <v>52745.497000000003</v>
      </c>
      <c r="S10" s="9">
        <v>46346.961000000003</v>
      </c>
      <c r="T10" s="9">
        <v>42092.016000000003</v>
      </c>
      <c r="U10" s="9">
        <v>37235.383000000002</v>
      </c>
      <c r="V10" s="9">
        <v>33983.120999999999</v>
      </c>
    </row>
    <row r="11" spans="1:22" x14ac:dyDescent="0.25">
      <c r="A11" s="1" t="s">
        <v>60</v>
      </c>
      <c r="B11" s="9">
        <v>19779</v>
      </c>
      <c r="C11" s="9">
        <v>18461</v>
      </c>
      <c r="D11" s="9">
        <v>16332</v>
      </c>
      <c r="E11" s="9">
        <v>14994</v>
      </c>
      <c r="F11" s="9">
        <v>13876</v>
      </c>
      <c r="G11" s="9">
        <v>12950</v>
      </c>
      <c r="H11" s="9">
        <v>12068</v>
      </c>
      <c r="I11" s="9">
        <v>11445</v>
      </c>
      <c r="J11" s="9">
        <v>10899</v>
      </c>
      <c r="K11" s="8">
        <v>10104</v>
      </c>
      <c r="L11" s="9">
        <v>9518</v>
      </c>
      <c r="M11" s="9">
        <v>8682</v>
      </c>
      <c r="N11" s="9">
        <v>7840</v>
      </c>
      <c r="O11" s="9">
        <v>7252</v>
      </c>
      <c r="P11" s="9">
        <v>6953.8040000000001</v>
      </c>
      <c r="Q11" s="9">
        <v>6273.0959999999995</v>
      </c>
      <c r="R11" s="9">
        <v>5732.1409999999996</v>
      </c>
      <c r="S11" s="9">
        <v>5061.3389999999999</v>
      </c>
      <c r="T11" s="9">
        <v>4600.7920000000004</v>
      </c>
      <c r="U11" s="9">
        <v>4097.3980000000001</v>
      </c>
      <c r="V11" s="9">
        <v>3575.5360000000001</v>
      </c>
    </row>
    <row r="12" spans="1:22" x14ac:dyDescent="0.25">
      <c r="A12" s="1" t="s">
        <v>72</v>
      </c>
      <c r="B12" s="9">
        <v>0</v>
      </c>
      <c r="C12" s="9">
        <v>76</v>
      </c>
      <c r="D12" s="9">
        <v>55</v>
      </c>
      <c r="E12" s="9">
        <v>86</v>
      </c>
      <c r="F12" s="9">
        <v>68</v>
      </c>
      <c r="G12" s="9">
        <v>82</v>
      </c>
      <c r="H12" s="9">
        <v>78</v>
      </c>
      <c r="I12" s="9">
        <v>65</v>
      </c>
      <c r="J12" s="9">
        <v>63</v>
      </c>
      <c r="K12" s="8">
        <v>51</v>
      </c>
      <c r="L12" s="9">
        <v>37</v>
      </c>
      <c r="M12" s="9">
        <v>46</v>
      </c>
      <c r="N12" s="9">
        <v>26</v>
      </c>
      <c r="O12" s="9">
        <v>41</v>
      </c>
      <c r="P12" s="9">
        <v>57.383000000000003</v>
      </c>
      <c r="Q12" s="9">
        <v>55.162999999999997</v>
      </c>
      <c r="R12" s="9">
        <v>42.503999999999998</v>
      </c>
      <c r="S12" s="9">
        <v>53.23</v>
      </c>
      <c r="T12" s="9">
        <v>30.451000000000001</v>
      </c>
      <c r="U12" s="9">
        <v>36.643000000000001</v>
      </c>
      <c r="V12" s="9">
        <v>51.256999999999998</v>
      </c>
    </row>
    <row r="13" spans="1:22" x14ac:dyDescent="0.25">
      <c r="A13" s="1" t="s">
        <v>74</v>
      </c>
      <c r="B13" s="9">
        <v>0</v>
      </c>
      <c r="C13" s="9">
        <v>0</v>
      </c>
      <c r="D13" s="9">
        <v>0</v>
      </c>
      <c r="E13" s="9">
        <v>0</v>
      </c>
      <c r="F13" s="9">
        <v>0</v>
      </c>
      <c r="G13" s="9">
        <v>0</v>
      </c>
      <c r="H13" s="9">
        <v>0</v>
      </c>
      <c r="I13" s="9">
        <v>0</v>
      </c>
      <c r="J13" s="9">
        <v>0</v>
      </c>
      <c r="K13" s="8">
        <v>0</v>
      </c>
      <c r="L13" s="9">
        <v>0</v>
      </c>
      <c r="M13" s="9">
        <v>9</v>
      </c>
      <c r="N13" s="9">
        <v>8</v>
      </c>
      <c r="O13" s="9">
        <v>17</v>
      </c>
      <c r="P13" s="9">
        <v>0.248</v>
      </c>
      <c r="Q13" s="9">
        <v>13.608000000000001</v>
      </c>
      <c r="R13" s="9">
        <v>5.4530000000000003</v>
      </c>
      <c r="S13" s="9">
        <v>16.393000000000001</v>
      </c>
      <c r="T13" s="9">
        <v>1</v>
      </c>
      <c r="U13" s="9">
        <v>19.5</v>
      </c>
      <c r="V13" s="9">
        <v>21.05</v>
      </c>
    </row>
    <row r="14" spans="1:22" x14ac:dyDescent="0.25">
      <c r="A14" s="6" t="s">
        <v>61</v>
      </c>
      <c r="B14" s="12">
        <f>B8-SUM(B10:B13)</f>
        <v>7793</v>
      </c>
      <c r="C14" s="12">
        <f t="shared" ref="C14:V14" si="1">C8-SUM(C10:C13)</f>
        <v>6708</v>
      </c>
      <c r="D14" s="12">
        <f t="shared" si="1"/>
        <v>5435</v>
      </c>
      <c r="E14" s="12">
        <f t="shared" si="1"/>
        <v>4737</v>
      </c>
      <c r="F14" s="12">
        <f t="shared" si="1"/>
        <v>4480</v>
      </c>
      <c r="G14" s="12">
        <f t="shared" si="1"/>
        <v>4111</v>
      </c>
      <c r="H14" s="12">
        <f t="shared" si="1"/>
        <v>3672</v>
      </c>
      <c r="I14" s="12">
        <f t="shared" si="1"/>
        <v>3624</v>
      </c>
      <c r="J14" s="12">
        <f t="shared" si="1"/>
        <v>3220</v>
      </c>
      <c r="K14" s="12">
        <f t="shared" si="1"/>
        <v>3053</v>
      </c>
      <c r="L14" s="12">
        <f t="shared" si="1"/>
        <v>2759</v>
      </c>
      <c r="M14" s="12">
        <f t="shared" si="1"/>
        <v>2439</v>
      </c>
      <c r="N14" s="12">
        <f t="shared" si="1"/>
        <v>2077</v>
      </c>
      <c r="O14" s="12">
        <f t="shared" si="1"/>
        <v>1777</v>
      </c>
      <c r="P14" s="12">
        <f t="shared" si="1"/>
        <v>1968.8349999999773</v>
      </c>
      <c r="Q14" s="12">
        <f t="shared" si="1"/>
        <v>1608.586000000003</v>
      </c>
      <c r="R14" s="12">
        <f t="shared" si="1"/>
        <v>1625.6319999999905</v>
      </c>
      <c r="S14" s="12">
        <f t="shared" si="1"/>
        <v>1474.3029999999999</v>
      </c>
      <c r="T14" s="12">
        <f t="shared" si="1"/>
        <v>1385.6479999999938</v>
      </c>
      <c r="U14" s="12">
        <f t="shared" si="1"/>
        <v>1156.6280000000042</v>
      </c>
      <c r="V14" s="12">
        <f t="shared" si="1"/>
        <v>1131.5350000000035</v>
      </c>
    </row>
    <row r="15" spans="1:22" x14ac:dyDescent="0.25">
      <c r="A15" s="1" t="s">
        <v>62</v>
      </c>
      <c r="B15" s="9"/>
      <c r="C15" s="9"/>
      <c r="D15" s="9"/>
      <c r="E15" s="9"/>
      <c r="F15" s="9"/>
      <c r="G15" s="9"/>
      <c r="H15" s="9"/>
      <c r="I15" s="9"/>
      <c r="J15" s="9"/>
      <c r="L15" s="9"/>
      <c r="M15" s="9"/>
      <c r="N15" s="9"/>
      <c r="O15" s="9"/>
      <c r="P15" s="9"/>
      <c r="Q15" s="9"/>
      <c r="R15" s="9"/>
      <c r="S15" s="9"/>
      <c r="T15" s="9"/>
      <c r="U15" s="9"/>
      <c r="V15" s="9"/>
    </row>
    <row r="16" spans="1:22" x14ac:dyDescent="0.25">
      <c r="A16" s="1" t="s">
        <v>15</v>
      </c>
      <c r="B16" s="9">
        <v>-158</v>
      </c>
      <c r="C16" s="9">
        <v>-171</v>
      </c>
      <c r="D16" s="9">
        <v>-160</v>
      </c>
      <c r="E16" s="9">
        <v>-150</v>
      </c>
      <c r="F16" s="9">
        <v>-159</v>
      </c>
      <c r="G16" s="9">
        <v>-134</v>
      </c>
      <c r="H16" s="9">
        <v>-133</v>
      </c>
      <c r="I16" s="9">
        <v>-124</v>
      </c>
      <c r="J16" s="9">
        <v>-113</v>
      </c>
      <c r="K16" s="8">
        <v>-99</v>
      </c>
      <c r="L16" s="9">
        <v>-95</v>
      </c>
      <c r="M16" s="9">
        <v>-116</v>
      </c>
      <c r="N16" s="9">
        <v>-111</v>
      </c>
      <c r="O16" s="9">
        <v>-108</v>
      </c>
      <c r="P16" s="9">
        <v>-102.636</v>
      </c>
      <c r="Q16" s="9">
        <v>-64.078999999999994</v>
      </c>
      <c r="R16" s="9">
        <v>-12.57</v>
      </c>
      <c r="S16" s="9">
        <v>-34.436999999999998</v>
      </c>
      <c r="T16" s="9">
        <v>-36.651000000000003</v>
      </c>
      <c r="U16" s="9">
        <v>-36.92</v>
      </c>
      <c r="V16" s="9">
        <v>-29.096</v>
      </c>
    </row>
    <row r="17" spans="1:22" x14ac:dyDescent="0.25">
      <c r="A17" s="1" t="s">
        <v>63</v>
      </c>
      <c r="B17" s="9">
        <v>205</v>
      </c>
      <c r="C17" s="9">
        <v>143</v>
      </c>
      <c r="D17" s="9">
        <v>92</v>
      </c>
      <c r="E17" s="9">
        <v>178</v>
      </c>
      <c r="F17" s="9">
        <v>121</v>
      </c>
      <c r="G17" s="9">
        <v>62</v>
      </c>
      <c r="H17" s="9">
        <v>80</v>
      </c>
      <c r="I17" s="9">
        <v>104</v>
      </c>
      <c r="J17" s="9">
        <v>90</v>
      </c>
      <c r="K17" s="8">
        <v>97</v>
      </c>
      <c r="L17" s="9">
        <v>103</v>
      </c>
      <c r="M17" s="9">
        <v>60</v>
      </c>
      <c r="N17" s="9">
        <v>88</v>
      </c>
      <c r="O17" s="9">
        <v>58</v>
      </c>
      <c r="P17" s="9">
        <v>132.77500000000001</v>
      </c>
      <c r="Q17" s="9">
        <v>165.48400000000001</v>
      </c>
      <c r="R17" s="9">
        <v>138.35499999999999</v>
      </c>
      <c r="S17" s="9">
        <v>109.096</v>
      </c>
      <c r="T17" s="9">
        <v>51.627000000000002</v>
      </c>
      <c r="U17" s="9">
        <v>38.524999999999999</v>
      </c>
      <c r="V17" s="9">
        <v>35.744999999999997</v>
      </c>
    </row>
    <row r="18" spans="1:22" x14ac:dyDescent="0.25">
      <c r="A18" s="6" t="s">
        <v>64</v>
      </c>
      <c r="B18" s="12">
        <f>B14+SUM(B16:B17)</f>
        <v>7840</v>
      </c>
      <c r="C18" s="12">
        <f t="shared" ref="C18:V18" si="2">C14+SUM(C16:C17)</f>
        <v>6680</v>
      </c>
      <c r="D18" s="12">
        <f t="shared" si="2"/>
        <v>5367</v>
      </c>
      <c r="E18" s="12">
        <f t="shared" si="2"/>
        <v>4765</v>
      </c>
      <c r="F18" s="12">
        <f t="shared" si="2"/>
        <v>4442</v>
      </c>
      <c r="G18" s="12">
        <f t="shared" si="2"/>
        <v>4039</v>
      </c>
      <c r="H18" s="12">
        <f t="shared" si="2"/>
        <v>3619</v>
      </c>
      <c r="I18" s="12">
        <f t="shared" si="2"/>
        <v>3604</v>
      </c>
      <c r="J18" s="12">
        <f t="shared" si="2"/>
        <v>3197</v>
      </c>
      <c r="K18" s="12">
        <f t="shared" si="2"/>
        <v>3051</v>
      </c>
      <c r="L18" s="12">
        <f t="shared" si="2"/>
        <v>2767</v>
      </c>
      <c r="M18" s="12">
        <f t="shared" si="2"/>
        <v>2383</v>
      </c>
      <c r="N18" s="12">
        <f t="shared" si="2"/>
        <v>2054</v>
      </c>
      <c r="O18" s="12">
        <f t="shared" si="2"/>
        <v>1727</v>
      </c>
      <c r="P18" s="12">
        <f t="shared" si="2"/>
        <v>1998.9739999999774</v>
      </c>
      <c r="Q18" s="12">
        <f t="shared" si="2"/>
        <v>1709.9910000000029</v>
      </c>
      <c r="R18" s="12">
        <f t="shared" si="2"/>
        <v>1751.4169999999906</v>
      </c>
      <c r="S18" s="12">
        <f t="shared" si="2"/>
        <v>1548.962</v>
      </c>
      <c r="T18" s="12">
        <f t="shared" si="2"/>
        <v>1400.6239999999939</v>
      </c>
      <c r="U18" s="12">
        <f t="shared" si="2"/>
        <v>1158.2330000000043</v>
      </c>
      <c r="V18" s="12">
        <f t="shared" si="2"/>
        <v>1138.1840000000034</v>
      </c>
    </row>
    <row r="19" spans="1:22" x14ac:dyDescent="0.25">
      <c r="A19" s="1" t="s">
        <v>65</v>
      </c>
      <c r="B19" s="9">
        <v>1925</v>
      </c>
      <c r="C19" s="9">
        <v>1601</v>
      </c>
      <c r="D19" s="9">
        <v>1308</v>
      </c>
      <c r="E19" s="9">
        <v>1061</v>
      </c>
      <c r="F19" s="9">
        <v>1263</v>
      </c>
      <c r="G19" s="9">
        <v>1325</v>
      </c>
      <c r="H19" s="9">
        <v>1243</v>
      </c>
      <c r="I19" s="9">
        <v>1195</v>
      </c>
      <c r="J19" s="9">
        <v>1109</v>
      </c>
      <c r="K19" s="8">
        <v>990</v>
      </c>
      <c r="L19" s="9">
        <v>1000</v>
      </c>
      <c r="M19" s="9">
        <v>841</v>
      </c>
      <c r="N19" s="9">
        <v>731</v>
      </c>
      <c r="O19" s="9">
        <v>628</v>
      </c>
      <c r="P19" s="9">
        <v>716.24900000000002</v>
      </c>
      <c r="Q19" s="9">
        <v>627.21900000000005</v>
      </c>
      <c r="R19" s="9">
        <v>648.202</v>
      </c>
      <c r="S19" s="9">
        <v>485.87</v>
      </c>
      <c r="T19" s="9">
        <v>518.23099999999999</v>
      </c>
      <c r="U19" s="9">
        <v>437.233</v>
      </c>
      <c r="V19" s="9">
        <v>438.20100000000002</v>
      </c>
    </row>
    <row r="20" spans="1:22" x14ac:dyDescent="0.25">
      <c r="A20" s="1" t="s">
        <v>66</v>
      </c>
      <c r="B20" s="11">
        <f>B18-B19</f>
        <v>5915</v>
      </c>
      <c r="C20" s="11">
        <f t="shared" ref="C20:V20" si="3">C18-C19</f>
        <v>5079</v>
      </c>
      <c r="D20" s="11">
        <f t="shared" si="3"/>
        <v>4059</v>
      </c>
      <c r="E20" s="11">
        <f t="shared" si="3"/>
        <v>3704</v>
      </c>
      <c r="F20" s="11">
        <f t="shared" si="3"/>
        <v>3179</v>
      </c>
      <c r="G20" s="11">
        <f t="shared" si="3"/>
        <v>2714</v>
      </c>
      <c r="H20" s="11">
        <f t="shared" si="3"/>
        <v>2376</v>
      </c>
      <c r="I20" s="11">
        <f t="shared" si="3"/>
        <v>2409</v>
      </c>
      <c r="J20" s="11">
        <f t="shared" si="3"/>
        <v>2088</v>
      </c>
      <c r="K20" s="11">
        <f t="shared" si="3"/>
        <v>2061</v>
      </c>
      <c r="L20" s="11">
        <f t="shared" si="3"/>
        <v>1767</v>
      </c>
      <c r="M20" s="11">
        <f t="shared" si="3"/>
        <v>1542</v>
      </c>
      <c r="N20" s="11">
        <f t="shared" si="3"/>
        <v>1323</v>
      </c>
      <c r="O20" s="11">
        <f t="shared" si="3"/>
        <v>1099</v>
      </c>
      <c r="P20" s="11">
        <f t="shared" si="3"/>
        <v>1282.7249999999774</v>
      </c>
      <c r="Q20" s="11">
        <f t="shared" si="3"/>
        <v>1082.7720000000029</v>
      </c>
      <c r="R20" s="11">
        <f t="shared" si="3"/>
        <v>1103.2149999999906</v>
      </c>
      <c r="S20" s="11">
        <f t="shared" si="3"/>
        <v>1063.0920000000001</v>
      </c>
      <c r="T20" s="11">
        <f t="shared" si="3"/>
        <v>882.39299999999389</v>
      </c>
      <c r="U20" s="11">
        <f t="shared" si="3"/>
        <v>721.00000000000432</v>
      </c>
      <c r="V20" s="11">
        <f t="shared" si="3"/>
        <v>699.98300000000336</v>
      </c>
    </row>
    <row r="21" spans="1:22" x14ac:dyDescent="0.25">
      <c r="A21" s="1" t="s">
        <v>67</v>
      </c>
      <c r="B21" s="9">
        <v>-71</v>
      </c>
      <c r="C21" s="9">
        <v>-72</v>
      </c>
      <c r="D21" s="9">
        <v>-57</v>
      </c>
      <c r="E21" s="9">
        <v>-45</v>
      </c>
      <c r="F21" s="9">
        <v>-45</v>
      </c>
      <c r="G21" s="9">
        <v>-35</v>
      </c>
      <c r="H21" s="9">
        <v>-26</v>
      </c>
      <c r="I21" s="9">
        <v>-32</v>
      </c>
      <c r="J21" s="9">
        <v>-30</v>
      </c>
      <c r="K21" s="8">
        <v>-22</v>
      </c>
      <c r="L21" s="9">
        <v>-58</v>
      </c>
      <c r="M21" s="9">
        <v>-80</v>
      </c>
      <c r="N21" s="9">
        <v>-20</v>
      </c>
      <c r="O21" s="9">
        <v>-13</v>
      </c>
      <c r="P21" s="9">
        <v>0</v>
      </c>
      <c r="Q21" s="9">
        <v>0</v>
      </c>
      <c r="R21" s="9">
        <v>0</v>
      </c>
      <c r="S21" s="9">
        <v>0</v>
      </c>
      <c r="T21" s="9">
        <v>0</v>
      </c>
      <c r="U21" s="9">
        <v>0</v>
      </c>
      <c r="V21" s="9">
        <v>0</v>
      </c>
    </row>
    <row r="22" spans="1:22" ht="20" thickBot="1" x14ac:dyDescent="0.3">
      <c r="A22" s="6" t="s">
        <v>68</v>
      </c>
      <c r="B22" s="10">
        <f>SUM(B20:B21)</f>
        <v>5844</v>
      </c>
      <c r="C22" s="10">
        <f t="shared" ref="C22:V22" si="4">SUM(C20:C21)</f>
        <v>5007</v>
      </c>
      <c r="D22" s="10">
        <f t="shared" si="4"/>
        <v>4002</v>
      </c>
      <c r="E22" s="10">
        <f t="shared" si="4"/>
        <v>3659</v>
      </c>
      <c r="F22" s="10">
        <f t="shared" si="4"/>
        <v>3134</v>
      </c>
      <c r="G22" s="10">
        <f t="shared" si="4"/>
        <v>2679</v>
      </c>
      <c r="H22" s="10">
        <f t="shared" si="4"/>
        <v>2350</v>
      </c>
      <c r="I22" s="10">
        <f t="shared" si="4"/>
        <v>2377</v>
      </c>
      <c r="J22" s="10">
        <f t="shared" si="4"/>
        <v>2058</v>
      </c>
      <c r="K22" s="10">
        <f t="shared" si="4"/>
        <v>2039</v>
      </c>
      <c r="L22" s="10">
        <f t="shared" si="4"/>
        <v>1709</v>
      </c>
      <c r="M22" s="10">
        <f t="shared" si="4"/>
        <v>1462</v>
      </c>
      <c r="N22" s="10">
        <f t="shared" si="4"/>
        <v>1303</v>
      </c>
      <c r="O22" s="10">
        <f t="shared" si="4"/>
        <v>1086</v>
      </c>
      <c r="P22" s="10">
        <f t="shared" si="4"/>
        <v>1282.7249999999774</v>
      </c>
      <c r="Q22" s="10">
        <f t="shared" si="4"/>
        <v>1082.7720000000029</v>
      </c>
      <c r="R22" s="10">
        <f t="shared" si="4"/>
        <v>1103.2149999999906</v>
      </c>
      <c r="S22" s="10">
        <f t="shared" si="4"/>
        <v>1063.0920000000001</v>
      </c>
      <c r="T22" s="10">
        <f t="shared" si="4"/>
        <v>882.39299999999389</v>
      </c>
      <c r="U22" s="10">
        <f t="shared" si="4"/>
        <v>721.00000000000432</v>
      </c>
      <c r="V22" s="10">
        <f t="shared" si="4"/>
        <v>699.98300000000336</v>
      </c>
    </row>
    <row r="23" spans="1:22" ht="20" thickTop="1" x14ac:dyDescent="0.25">
      <c r="B23" s="9"/>
      <c r="C23" s="9"/>
      <c r="D23" s="9"/>
      <c r="E23" s="9"/>
      <c r="F23" s="9"/>
      <c r="G23" s="9"/>
      <c r="H23" s="9"/>
      <c r="I23" s="9"/>
      <c r="J23" s="9"/>
      <c r="L23" s="9"/>
      <c r="M23" s="9"/>
      <c r="N23" s="9"/>
      <c r="O23" s="9"/>
      <c r="P23" s="9"/>
      <c r="Q23" s="9"/>
      <c r="R23" s="9"/>
      <c r="S23" s="9"/>
      <c r="T23" s="9"/>
      <c r="U23" s="9"/>
      <c r="V23" s="9"/>
    </row>
    <row r="24" spans="1:22" x14ac:dyDescent="0.25">
      <c r="A24" s="1" t="s">
        <v>69</v>
      </c>
      <c r="B24" s="18">
        <v>444.75700000000001</v>
      </c>
      <c r="C24" s="18">
        <v>444.346</v>
      </c>
      <c r="D24" s="18">
        <v>443.90100000000001</v>
      </c>
      <c r="E24" s="18">
        <v>442.923</v>
      </c>
      <c r="F24" s="18">
        <v>441.834</v>
      </c>
      <c r="G24" s="18">
        <v>440.93700000000001</v>
      </c>
      <c r="H24" s="18">
        <v>441.26299999999998</v>
      </c>
      <c r="I24" s="18">
        <v>442.71600000000001</v>
      </c>
      <c r="J24" s="18">
        <v>442.48500000000001</v>
      </c>
      <c r="K24" s="19">
        <v>440.512</v>
      </c>
      <c r="L24" s="18">
        <v>439.37299999999999</v>
      </c>
      <c r="M24" s="18">
        <v>443.09399999999999</v>
      </c>
      <c r="N24" s="18">
        <v>445.97</v>
      </c>
      <c r="O24" s="18">
        <v>440.45400000000001</v>
      </c>
      <c r="P24" s="18">
        <v>444.24</v>
      </c>
      <c r="Q24" s="18">
        <v>457.64100000000002</v>
      </c>
      <c r="R24" s="18">
        <v>480.34100000000001</v>
      </c>
      <c r="S24" s="18">
        <v>492.03500000000003</v>
      </c>
      <c r="T24" s="18">
        <v>482.459</v>
      </c>
      <c r="U24" s="18">
        <v>479.32600000000002</v>
      </c>
      <c r="V24" s="18">
        <v>479.262</v>
      </c>
    </row>
    <row r="25" spans="1:22" x14ac:dyDescent="0.25">
      <c r="A25" s="1" t="s">
        <v>70</v>
      </c>
      <c r="B25" s="13">
        <f>B22/B24</f>
        <v>13.139759464156832</v>
      </c>
      <c r="C25" s="13">
        <f t="shared" ref="C25:R25" si="5">C22/C24</f>
        <v>11.268245916470498</v>
      </c>
      <c r="D25" s="13">
        <f t="shared" si="5"/>
        <v>9.0155237316428654</v>
      </c>
      <c r="E25" s="13">
        <f t="shared" si="5"/>
        <v>8.2610295694737008</v>
      </c>
      <c r="F25" s="13">
        <f t="shared" si="5"/>
        <v>7.0931616851577743</v>
      </c>
      <c r="G25" s="13">
        <f t="shared" si="5"/>
        <v>6.075697888814048</v>
      </c>
      <c r="H25" s="13">
        <f t="shared" si="5"/>
        <v>5.3256221346453252</v>
      </c>
      <c r="I25" s="13">
        <f t="shared" si="5"/>
        <v>5.3691305487039092</v>
      </c>
      <c r="J25" s="13">
        <f t="shared" si="5"/>
        <v>4.6510051188175865</v>
      </c>
      <c r="K25" s="13">
        <f t="shared" si="5"/>
        <v>4.6287047798924883</v>
      </c>
      <c r="L25" s="13">
        <f t="shared" si="5"/>
        <v>3.8896336370236679</v>
      </c>
      <c r="M25" s="13">
        <f t="shared" si="5"/>
        <v>3.2995256085616145</v>
      </c>
      <c r="N25" s="13">
        <f t="shared" si="5"/>
        <v>2.9217211920084307</v>
      </c>
      <c r="O25" s="13">
        <f t="shared" si="5"/>
        <v>2.4656377283439359</v>
      </c>
      <c r="P25" s="13">
        <f t="shared" si="5"/>
        <v>2.8874594813613754</v>
      </c>
      <c r="Q25" s="13">
        <f t="shared" si="5"/>
        <v>2.3659855651045314</v>
      </c>
      <c r="R25" s="13">
        <f t="shared" si="5"/>
        <v>2.2967329459696146</v>
      </c>
      <c r="S25" s="13">
        <v>2.1800000000000002</v>
      </c>
      <c r="T25" s="13">
        <v>1.85</v>
      </c>
      <c r="U25" s="13">
        <v>1.53</v>
      </c>
      <c r="V25" s="13">
        <v>1.48</v>
      </c>
    </row>
    <row r="26" spans="1:22" x14ac:dyDescent="0.25">
      <c r="B26" s="13"/>
      <c r="C26" s="13"/>
      <c r="D26" s="13"/>
      <c r="E26" s="13"/>
      <c r="F26" s="13"/>
      <c r="G26" s="13"/>
      <c r="H26" s="13"/>
      <c r="I26" s="13"/>
      <c r="J26" s="13"/>
      <c r="K26" s="13"/>
      <c r="L26" s="13"/>
      <c r="M26" s="13"/>
      <c r="N26" s="13"/>
      <c r="O26" s="13"/>
      <c r="P26" s="13"/>
      <c r="Q26" s="13"/>
      <c r="R26" s="13"/>
      <c r="S26" s="13"/>
      <c r="T26" s="13"/>
      <c r="U26" s="13"/>
      <c r="V26" s="13"/>
    </row>
    <row r="27" spans="1:22" x14ac:dyDescent="0.25">
      <c r="A27" s="6" t="s">
        <v>237</v>
      </c>
      <c r="B27" s="69">
        <f>(B6/C6)-1</f>
        <v>0.15973798762835067</v>
      </c>
      <c r="C27" s="69">
        <f t="shared" ref="C27:U27" si="6">(C6/D6)-1</f>
        <v>0.17664501899277041</v>
      </c>
      <c r="D27" s="69">
        <f t="shared" si="6"/>
        <v>9.2861781976685709E-2</v>
      </c>
      <c r="E27" s="69">
        <f t="shared" si="6"/>
        <v>7.8860684513919921E-2</v>
      </c>
      <c r="F27" s="69">
        <f t="shared" si="6"/>
        <v>9.7184795358716602E-2</v>
      </c>
      <c r="G27" s="69">
        <f t="shared" si="6"/>
        <v>8.7005591308917607E-2</v>
      </c>
      <c r="H27" s="69">
        <f t="shared" si="6"/>
        <v>2.1176077279045691E-2</v>
      </c>
      <c r="I27" s="69">
        <f t="shared" si="6"/>
        <v>3.1339600043552407E-2</v>
      </c>
      <c r="J27" s="69">
        <f t="shared" si="6"/>
        <v>7.137163410129288E-2</v>
      </c>
      <c r="K27" s="69">
        <f t="shared" si="6"/>
        <v>5.9838041664090902E-2</v>
      </c>
      <c r="L27" s="69">
        <f t="shared" si="6"/>
        <v>0.11503997794320364</v>
      </c>
      <c r="M27" s="69">
        <f t="shared" si="6"/>
        <v>0.14153825978624357</v>
      </c>
      <c r="N27" s="69">
        <f t="shared" si="6"/>
        <v>9.1087295568687443E-2</v>
      </c>
      <c r="O27" s="69">
        <f t="shared" si="6"/>
        <v>-1.5335623900108897E-2</v>
      </c>
      <c r="P27" s="69">
        <f t="shared" si="6"/>
        <v>0.12506233990415949</v>
      </c>
      <c r="Q27" s="69">
        <f t="shared" si="6"/>
        <v>6.994909365471802E-2</v>
      </c>
      <c r="R27" s="69">
        <f t="shared" si="6"/>
        <v>0.13655044317486809</v>
      </c>
      <c r="S27" s="69">
        <f t="shared" si="6"/>
        <v>0.10033045076795122</v>
      </c>
      <c r="T27" s="69">
        <f t="shared" si="6"/>
        <v>0.13086051349182259</v>
      </c>
      <c r="U27" s="69">
        <f t="shared" si="6"/>
        <v>9.7375751955756762E-2</v>
      </c>
      <c r="V27" s="13"/>
    </row>
    <row r="28" spans="1:22" x14ac:dyDescent="0.25">
      <c r="B28" s="9"/>
      <c r="C28" s="9"/>
      <c r="D28" s="9"/>
      <c r="E28" s="9"/>
      <c r="F28" s="9"/>
      <c r="G28" s="9"/>
      <c r="H28" s="9"/>
      <c r="I28" s="9"/>
      <c r="J28" s="9"/>
      <c r="L28" s="9"/>
      <c r="M28" s="9"/>
      <c r="N28" s="9"/>
      <c r="O28" s="9"/>
      <c r="P28" s="9"/>
      <c r="Q28" s="9"/>
      <c r="R28" s="9"/>
      <c r="S28" s="9"/>
      <c r="T28" s="9"/>
      <c r="U28" s="9"/>
      <c r="V28" s="9"/>
    </row>
    <row r="29" spans="1:22" x14ac:dyDescent="0.25">
      <c r="A29" s="39" t="s">
        <v>109</v>
      </c>
      <c r="B29" s="9"/>
      <c r="C29" s="9"/>
      <c r="D29" s="9"/>
      <c r="E29" s="9"/>
      <c r="F29" s="9"/>
      <c r="G29" s="9"/>
      <c r="H29" s="9"/>
      <c r="I29" s="9"/>
      <c r="J29" s="9"/>
      <c r="L29" s="9"/>
      <c r="M29" s="9"/>
      <c r="N29" s="9"/>
      <c r="O29" s="9"/>
      <c r="P29" s="9"/>
      <c r="Q29" s="9"/>
      <c r="R29" s="9"/>
      <c r="S29" s="9"/>
      <c r="T29" s="9"/>
      <c r="U29" s="9"/>
      <c r="V29" s="9"/>
    </row>
    <row r="30" spans="1:22" x14ac:dyDescent="0.25">
      <c r="A30" s="1" t="s">
        <v>12</v>
      </c>
      <c r="B30" s="21">
        <f>(B6-B10)/B6</f>
        <v>0.10482647151259372</v>
      </c>
      <c r="C30" s="21">
        <f t="shared" ref="C30:V30" si="7">(C6-C10)/C6</f>
        <v>0.11126153333472184</v>
      </c>
      <c r="D30" s="21">
        <f t="shared" si="7"/>
        <v>0.11200220561205734</v>
      </c>
      <c r="E30" s="21">
        <f t="shared" si="7"/>
        <v>0.11024365421055099</v>
      </c>
      <c r="F30" s="21">
        <f t="shared" si="7"/>
        <v>0.11039195573341809</v>
      </c>
      <c r="G30" s="21">
        <f t="shared" si="7"/>
        <v>0.11325809212820594</v>
      </c>
      <c r="H30" s="21">
        <f t="shared" si="7"/>
        <v>0.11348030980503648</v>
      </c>
      <c r="I30" s="21">
        <f t="shared" si="7"/>
        <v>0.11085988774127707</v>
      </c>
      <c r="J30" s="21">
        <f t="shared" si="7"/>
        <v>0.10664900373824991</v>
      </c>
      <c r="K30" s="21">
        <f t="shared" si="7"/>
        <v>0.10617283950617284</v>
      </c>
      <c r="L30" s="21">
        <f t="shared" si="7"/>
        <v>0.10548927489645793</v>
      </c>
      <c r="M30" s="21">
        <f t="shared" si="7"/>
        <v>0.10694099807003032</v>
      </c>
      <c r="N30" s="21">
        <f t="shared" si="7"/>
        <v>0.10832076585141957</v>
      </c>
      <c r="O30" s="21">
        <f t="shared" si="7"/>
        <v>0.10808567871911173</v>
      </c>
      <c r="P30" s="21">
        <f t="shared" si="7"/>
        <v>0.10531134070630056</v>
      </c>
      <c r="Q30" s="21">
        <f t="shared" si="7"/>
        <v>0.10521717254710644</v>
      </c>
      <c r="R30" s="21">
        <f t="shared" si="7"/>
        <v>0.10545026574211223</v>
      </c>
      <c r="S30" s="21">
        <f t="shared" si="7"/>
        <v>0.10663469873303429</v>
      </c>
      <c r="T30" s="21">
        <f t="shared" si="7"/>
        <v>0.10724831923525571</v>
      </c>
      <c r="U30" s="21">
        <f t="shared" si="7"/>
        <v>0.10690878995384777</v>
      </c>
      <c r="V30" s="21">
        <f t="shared" si="7"/>
        <v>0.10554476309680819</v>
      </c>
    </row>
    <row r="31" spans="1:22" x14ac:dyDescent="0.25">
      <c r="A31" s="1" t="s">
        <v>71</v>
      </c>
      <c r="B31" s="21">
        <f>B14/B8</f>
        <v>3.4337354706240032E-2</v>
      </c>
      <c r="C31" s="21">
        <f t="shared" ref="C31:V31" si="8">C14/C8</f>
        <v>3.4236891935343926E-2</v>
      </c>
      <c r="D31" s="21">
        <f t="shared" si="8"/>
        <v>3.259155318089961E-2</v>
      </c>
      <c r="E31" s="21">
        <f t="shared" si="8"/>
        <v>3.1021001552032378E-2</v>
      </c>
      <c r="F31" s="21">
        <f t="shared" si="8"/>
        <v>3.164378143188111E-2</v>
      </c>
      <c r="G31" s="21">
        <f t="shared" si="8"/>
        <v>3.1862042239875994E-2</v>
      </c>
      <c r="H31" s="21">
        <f t="shared" si="8"/>
        <v>3.0930179667955426E-2</v>
      </c>
      <c r="I31" s="21">
        <f t="shared" si="8"/>
        <v>3.1187875971393903E-2</v>
      </c>
      <c r="J31" s="21">
        <f t="shared" si="8"/>
        <v>2.8586647727272728E-2</v>
      </c>
      <c r="K31" s="21">
        <f t="shared" si="8"/>
        <v>2.9033055650652364E-2</v>
      </c>
      <c r="L31" s="21">
        <f t="shared" si="8"/>
        <v>2.7830174405116152E-2</v>
      </c>
      <c r="M31" s="21">
        <f t="shared" si="8"/>
        <v>2.7430692234156218E-2</v>
      </c>
      <c r="N31" s="21">
        <f t="shared" si="8"/>
        <v>2.6646652810920379E-2</v>
      </c>
      <c r="O31" s="21">
        <f t="shared" si="8"/>
        <v>2.4880288986586768E-2</v>
      </c>
      <c r="P31" s="21">
        <f t="shared" si="8"/>
        <v>2.7162706520782075E-2</v>
      </c>
      <c r="Q31" s="21">
        <f t="shared" si="8"/>
        <v>2.4977983360443823E-2</v>
      </c>
      <c r="R31" s="21">
        <f t="shared" si="8"/>
        <v>2.7025749616046743E-2</v>
      </c>
      <c r="S31" s="21">
        <f t="shared" si="8"/>
        <v>2.7842134530850503E-2</v>
      </c>
      <c r="T31" s="21">
        <f t="shared" si="8"/>
        <v>2.8801718531694394E-2</v>
      </c>
      <c r="U31" s="21">
        <f t="shared" si="8"/>
        <v>2.7185638583323686E-2</v>
      </c>
      <c r="V31" s="21">
        <f t="shared" si="8"/>
        <v>2.9191487370306114E-2</v>
      </c>
    </row>
    <row r="32" spans="1:22" x14ac:dyDescent="0.25">
      <c r="A32" s="1" t="s">
        <v>13</v>
      </c>
      <c r="B32" s="21">
        <f t="shared" ref="B32:V32" si="9">B22/B8</f>
        <v>2.5749711395260715E-2</v>
      </c>
      <c r="C32" s="21">
        <f t="shared" si="9"/>
        <v>2.5555175599324246E-2</v>
      </c>
      <c r="D32" s="21">
        <f t="shared" si="9"/>
        <v>2.3998416896036844E-2</v>
      </c>
      <c r="E32" s="21">
        <f t="shared" si="9"/>
        <v>2.3961546269555937E-2</v>
      </c>
      <c r="F32" s="21">
        <f t="shared" si="9"/>
        <v>2.2136520314177545E-2</v>
      </c>
      <c r="G32" s="21">
        <f t="shared" si="9"/>
        <v>2.0763417942259253E-2</v>
      </c>
      <c r="H32" s="21">
        <f t="shared" si="9"/>
        <v>1.9794641127367986E-2</v>
      </c>
      <c r="I32" s="21">
        <f t="shared" si="9"/>
        <v>2.0456286198676409E-2</v>
      </c>
      <c r="J32" s="21">
        <f t="shared" si="9"/>
        <v>1.8270596590909093E-2</v>
      </c>
      <c r="K32" s="21">
        <f t="shared" si="9"/>
        <v>1.9390239263570315E-2</v>
      </c>
      <c r="L32" s="21">
        <f t="shared" si="9"/>
        <v>1.723877059019337E-2</v>
      </c>
      <c r="M32" s="21">
        <f t="shared" si="9"/>
        <v>1.6442669965697577E-2</v>
      </c>
      <c r="N32" s="21">
        <f t="shared" si="9"/>
        <v>1.671670130603238E-2</v>
      </c>
      <c r="O32" s="21">
        <f t="shared" si="9"/>
        <v>1.5205398896698497E-2</v>
      </c>
      <c r="P32" s="21">
        <f t="shared" si="9"/>
        <v>1.7696903357503284E-2</v>
      </c>
      <c r="Q32" s="21">
        <f t="shared" si="9"/>
        <v>1.6813189347137485E-2</v>
      </c>
      <c r="R32" s="21">
        <f t="shared" si="9"/>
        <v>1.8340689874871391E-2</v>
      </c>
      <c r="S32" s="21">
        <f t="shared" si="9"/>
        <v>2.0076436446694424E-2</v>
      </c>
      <c r="T32" s="21">
        <f t="shared" si="9"/>
        <v>1.8341191139695904E-2</v>
      </c>
      <c r="U32" s="21">
        <f t="shared" si="9"/>
        <v>1.6946542378860292E-2</v>
      </c>
      <c r="V32" s="21">
        <f t="shared" si="9"/>
        <v>1.8058252642586415E-2</v>
      </c>
    </row>
    <row r="33" spans="1:22" x14ac:dyDescent="0.25">
      <c r="B33" s="9"/>
      <c r="C33" s="9"/>
      <c r="D33" s="9"/>
      <c r="E33" s="9"/>
      <c r="F33" s="9"/>
      <c r="G33" s="9"/>
      <c r="H33" s="9"/>
      <c r="I33" s="9"/>
      <c r="J33" s="9"/>
      <c r="L33" s="9"/>
      <c r="M33" s="9"/>
      <c r="N33" s="9"/>
      <c r="O33" s="9"/>
      <c r="P33" s="9"/>
      <c r="Q33" s="9"/>
      <c r="R33" s="9"/>
      <c r="S33" s="9"/>
      <c r="T33" s="9"/>
      <c r="U33" s="9"/>
      <c r="V33" s="9"/>
    </row>
    <row r="34" spans="1:22" x14ac:dyDescent="0.25">
      <c r="A34" s="1" t="s">
        <v>14</v>
      </c>
      <c r="B34" s="21">
        <f>B11/B6</f>
        <v>8.8802586090782565E-2</v>
      </c>
      <c r="C34" s="21">
        <f t="shared" ref="C34:V34" si="10">C11/C6</f>
        <v>9.6125007810384688E-2</v>
      </c>
      <c r="D34" s="21">
        <f t="shared" si="10"/>
        <v>0.10006126700159294</v>
      </c>
      <c r="E34" s="21">
        <f t="shared" si="10"/>
        <v>0.10039437298712429</v>
      </c>
      <c r="F34" s="21">
        <f t="shared" si="10"/>
        <v>0.10023549128104367</v>
      </c>
      <c r="G34" s="21">
        <f t="shared" si="10"/>
        <v>0.10263766921345464</v>
      </c>
      <c r="H34" s="21">
        <f t="shared" si="10"/>
        <v>0.10396905395742334</v>
      </c>
      <c r="I34" s="21">
        <f t="shared" si="10"/>
        <v>0.1006897401157778</v>
      </c>
      <c r="J34" s="21">
        <f t="shared" si="10"/>
        <v>9.8891227815482888E-2</v>
      </c>
      <c r="K34" s="21">
        <f t="shared" si="10"/>
        <v>9.8221055701370658E-2</v>
      </c>
      <c r="L34" s="21">
        <f t="shared" si="10"/>
        <v>9.8061033154066474E-2</v>
      </c>
      <c r="M34" s="21">
        <f t="shared" si="10"/>
        <v>9.9738075544527155E-2</v>
      </c>
      <c r="N34" s="21">
        <f t="shared" si="10"/>
        <v>0.10281293029965248</v>
      </c>
      <c r="O34" s="21">
        <f t="shared" si="10"/>
        <v>0.10376454091487931</v>
      </c>
      <c r="P34" s="21">
        <f t="shared" si="10"/>
        <v>9.7971970942221626E-2</v>
      </c>
      <c r="Q34" s="21">
        <f t="shared" si="10"/>
        <v>9.9434689234735668E-2</v>
      </c>
      <c r="R34" s="21">
        <f t="shared" si="10"/>
        <v>9.7215601329507656E-2</v>
      </c>
      <c r="S34" s="21">
        <f t="shared" si="10"/>
        <v>9.7560326351262661E-2</v>
      </c>
      <c r="T34" s="21">
        <f t="shared" si="10"/>
        <v>9.7580614595627571E-2</v>
      </c>
      <c r="U34" s="21">
        <f t="shared" si="10"/>
        <v>9.82761514192209E-2</v>
      </c>
      <c r="V34" s="21">
        <f t="shared" si="10"/>
        <v>9.4110158391158091E-2</v>
      </c>
    </row>
    <row r="35" spans="1:22" x14ac:dyDescent="0.25">
      <c r="A35" s="1" t="s">
        <v>73</v>
      </c>
      <c r="B35" s="17">
        <f t="shared" ref="B35:V35" si="11">B19/B18</f>
        <v>0.24553571428571427</v>
      </c>
      <c r="C35" s="17">
        <f t="shared" si="11"/>
        <v>0.23967065868263474</v>
      </c>
      <c r="D35" s="17">
        <f t="shared" si="11"/>
        <v>0.2437115707098938</v>
      </c>
      <c r="E35" s="17">
        <f t="shared" si="11"/>
        <v>0.22266526757607555</v>
      </c>
      <c r="F35" s="17">
        <f t="shared" si="11"/>
        <v>0.28433138226024313</v>
      </c>
      <c r="G35" s="17">
        <f t="shared" si="11"/>
        <v>0.32805149789551868</v>
      </c>
      <c r="H35" s="17">
        <f t="shared" si="11"/>
        <v>0.34346504559270519</v>
      </c>
      <c r="I35" s="17">
        <f t="shared" si="11"/>
        <v>0.33157602663706992</v>
      </c>
      <c r="J35" s="17">
        <f t="shared" si="11"/>
        <v>0.34688770722552392</v>
      </c>
      <c r="K35" s="17">
        <f t="shared" si="11"/>
        <v>0.32448377581120946</v>
      </c>
      <c r="L35" s="17">
        <f t="shared" si="11"/>
        <v>0.36140224069389232</v>
      </c>
      <c r="M35" s="17">
        <f t="shared" si="11"/>
        <v>0.35291649181703733</v>
      </c>
      <c r="N35" s="17">
        <f t="shared" si="11"/>
        <v>0.35589094449853942</v>
      </c>
      <c r="O35" s="17">
        <f t="shared" si="11"/>
        <v>0.36363636363636365</v>
      </c>
      <c r="P35" s="17">
        <f t="shared" si="11"/>
        <v>0.35830831216414427</v>
      </c>
      <c r="Q35" s="17">
        <f t="shared" si="11"/>
        <v>0.36679666735088018</v>
      </c>
      <c r="R35" s="17">
        <f t="shared" si="11"/>
        <v>0.37010146641262676</v>
      </c>
      <c r="S35" s="17">
        <f t="shared" si="11"/>
        <v>0.31367457691021472</v>
      </c>
      <c r="T35" s="17">
        <f t="shared" si="11"/>
        <v>0.37000008567610027</v>
      </c>
      <c r="U35" s="17">
        <f t="shared" si="11"/>
        <v>0.37750003669382448</v>
      </c>
      <c r="V35" s="17">
        <f t="shared" si="11"/>
        <v>0.3850001405748093</v>
      </c>
    </row>
    <row r="37" spans="1:22" x14ac:dyDescent="0.25">
      <c r="A37" s="38"/>
      <c r="K37" s="28"/>
    </row>
    <row r="38" spans="1:22" x14ac:dyDescent="0.25">
      <c r="B38" s="1" t="s">
        <v>108</v>
      </c>
      <c r="K38" s="28"/>
    </row>
    <row r="39" spans="1:22" x14ac:dyDescent="0.25">
      <c r="B39" s="9"/>
      <c r="C39" s="9"/>
      <c r="D39" s="9"/>
      <c r="E39" s="9"/>
      <c r="F39" s="9"/>
      <c r="G39" s="9"/>
      <c r="H39" s="9"/>
      <c r="I39" s="9"/>
      <c r="J39" s="9"/>
      <c r="L39" s="9"/>
      <c r="M39" s="9"/>
      <c r="N39" s="9"/>
      <c r="O39" s="9"/>
      <c r="P39" s="9"/>
      <c r="Q39" s="9"/>
      <c r="R39" s="9"/>
      <c r="S39" s="9"/>
      <c r="T39" s="9"/>
      <c r="U39" s="9"/>
      <c r="V39" s="9"/>
    </row>
    <row r="40" spans="1:22" x14ac:dyDescent="0.25">
      <c r="A40" s="39" t="s">
        <v>110</v>
      </c>
      <c r="B40" s="9"/>
      <c r="C40" s="9"/>
      <c r="D40" s="9"/>
      <c r="E40" s="9"/>
      <c r="F40" s="9"/>
      <c r="G40" s="9"/>
      <c r="H40" s="9"/>
      <c r="I40" s="9"/>
      <c r="J40" s="9"/>
      <c r="L40" s="9"/>
      <c r="M40" s="9"/>
      <c r="N40" s="9"/>
      <c r="O40" s="9"/>
      <c r="P40" s="9"/>
      <c r="Q40" s="9"/>
      <c r="R40" s="9"/>
      <c r="S40" s="9"/>
      <c r="T40" s="9"/>
      <c r="U40" s="9"/>
      <c r="V40" s="9"/>
    </row>
    <row r="41" spans="1:22" x14ac:dyDescent="0.25">
      <c r="A41" s="6" t="s">
        <v>119</v>
      </c>
      <c r="B41" s="9"/>
      <c r="C41" s="9"/>
      <c r="D41" s="9"/>
      <c r="E41" s="9"/>
      <c r="F41" s="9"/>
      <c r="G41" s="9"/>
      <c r="H41" s="9"/>
      <c r="I41" s="9"/>
      <c r="J41" s="9"/>
      <c r="L41" s="9"/>
      <c r="M41" s="9"/>
      <c r="N41" s="9"/>
      <c r="O41" s="9"/>
      <c r="P41" s="9"/>
      <c r="Q41" s="9"/>
      <c r="R41" s="9"/>
      <c r="S41" s="9"/>
      <c r="T41" s="9"/>
      <c r="U41" s="9"/>
      <c r="V41" s="9"/>
    </row>
    <row r="42" spans="1:22" x14ac:dyDescent="0.25">
      <c r="A42" s="1" t="s">
        <v>78</v>
      </c>
      <c r="B42" s="9">
        <v>165294</v>
      </c>
      <c r="C42" s="9">
        <v>141398</v>
      </c>
      <c r="D42" s="9">
        <v>122142</v>
      </c>
      <c r="E42" s="9">
        <v>111751</v>
      </c>
      <c r="F42" s="9">
        <v>102286</v>
      </c>
      <c r="G42" s="9">
        <v>93889</v>
      </c>
      <c r="H42" s="9">
        <v>86579</v>
      </c>
      <c r="I42" s="9">
        <v>84351</v>
      </c>
      <c r="J42" s="9">
        <v>80477</v>
      </c>
      <c r="K42" s="8">
        <v>75493</v>
      </c>
      <c r="L42" s="9">
        <v>71776</v>
      </c>
      <c r="M42" s="9">
        <v>64904</v>
      </c>
      <c r="N42" s="9">
        <v>59624</v>
      </c>
      <c r="O42" s="9">
        <v>56548</v>
      </c>
      <c r="P42" s="9">
        <v>56903.142</v>
      </c>
      <c r="Q42" s="9">
        <v>51532.178</v>
      </c>
      <c r="R42" s="9">
        <v>48465.917999999998</v>
      </c>
      <c r="S42" s="9">
        <v>43064.451999999997</v>
      </c>
      <c r="T42" s="9">
        <v>39430.385999999999</v>
      </c>
      <c r="U42" s="9">
        <v>35119.038999999997</v>
      </c>
      <c r="V42" s="9">
        <v>32310.812000000002</v>
      </c>
    </row>
    <row r="43" spans="1:22" x14ac:dyDescent="0.25">
      <c r="A43" s="1" t="s">
        <v>79</v>
      </c>
      <c r="B43" s="9">
        <v>31675</v>
      </c>
      <c r="C43" s="9">
        <v>27298</v>
      </c>
      <c r="D43" s="9">
        <v>22434</v>
      </c>
      <c r="E43" s="9">
        <v>21366</v>
      </c>
      <c r="F43" s="9">
        <v>20689</v>
      </c>
      <c r="G43" s="9">
        <v>18775</v>
      </c>
      <c r="H43" s="9">
        <v>17028</v>
      </c>
      <c r="I43" s="9">
        <v>17341</v>
      </c>
      <c r="J43" s="9">
        <v>17943</v>
      </c>
      <c r="K43" s="8">
        <v>17179</v>
      </c>
      <c r="L43" s="9">
        <v>15717</v>
      </c>
      <c r="M43" s="9">
        <v>14020</v>
      </c>
      <c r="N43" s="9">
        <v>12051</v>
      </c>
      <c r="O43" s="9">
        <v>9737</v>
      </c>
      <c r="P43" s="9">
        <v>10527.777</v>
      </c>
      <c r="Q43" s="9">
        <v>8723.5619999999999</v>
      </c>
      <c r="R43" s="9">
        <v>8121.7280000000001</v>
      </c>
      <c r="S43" s="9">
        <v>6732.3059999999996</v>
      </c>
      <c r="T43" s="9">
        <v>6042.9549999999999</v>
      </c>
      <c r="U43" s="9">
        <v>5237.0230000000001</v>
      </c>
      <c r="V43" s="9">
        <v>4750.1729999999998</v>
      </c>
    </row>
    <row r="44" spans="1:22" x14ac:dyDescent="0.25">
      <c r="A44" s="1" t="s">
        <v>77</v>
      </c>
      <c r="B44" s="9">
        <v>29985</v>
      </c>
      <c r="C44" s="9">
        <v>27233</v>
      </c>
      <c r="D44" s="9">
        <v>22185</v>
      </c>
      <c r="E44" s="9">
        <v>19586</v>
      </c>
      <c r="F44" s="9">
        <v>18601</v>
      </c>
      <c r="G44" s="9">
        <v>16361</v>
      </c>
      <c r="H44" s="9">
        <v>15112</v>
      </c>
      <c r="I44" s="9">
        <v>14507</v>
      </c>
      <c r="J44" s="9">
        <v>14220</v>
      </c>
      <c r="K44" s="8">
        <v>12484</v>
      </c>
      <c r="L44" s="9">
        <v>11644</v>
      </c>
      <c r="M44" s="9">
        <v>9991</v>
      </c>
      <c r="N44" s="9">
        <v>6271</v>
      </c>
      <c r="O44" s="9">
        <v>5137</v>
      </c>
      <c r="P44" s="9">
        <v>5052.1009999999997</v>
      </c>
      <c r="Q44" s="9">
        <v>4144.415</v>
      </c>
      <c r="R44" s="9">
        <v>3563.5810000000001</v>
      </c>
      <c r="S44" s="9">
        <v>3155.4690000000001</v>
      </c>
      <c r="T44" s="9">
        <v>2636.5659999999998</v>
      </c>
      <c r="U44" s="9">
        <v>2189.4899999999998</v>
      </c>
      <c r="V44" s="9">
        <v>1701.5139999999999</v>
      </c>
    </row>
    <row r="45" spans="1:22" ht="20" thickBot="1" x14ac:dyDescent="0.3">
      <c r="A45" s="6" t="s">
        <v>80</v>
      </c>
      <c r="B45" s="10">
        <f>SUM(B42:B44)</f>
        <v>226954</v>
      </c>
      <c r="C45" s="10">
        <f t="shared" ref="C45:V45" si="12">SUM(C42:C44)</f>
        <v>195929</v>
      </c>
      <c r="D45" s="10">
        <f t="shared" si="12"/>
        <v>166761</v>
      </c>
      <c r="E45" s="10">
        <f t="shared" si="12"/>
        <v>152703</v>
      </c>
      <c r="F45" s="10">
        <f t="shared" si="12"/>
        <v>141576</v>
      </c>
      <c r="G45" s="10">
        <f t="shared" si="12"/>
        <v>129025</v>
      </c>
      <c r="H45" s="10">
        <f t="shared" si="12"/>
        <v>118719</v>
      </c>
      <c r="I45" s="10">
        <f t="shared" si="12"/>
        <v>116199</v>
      </c>
      <c r="J45" s="10">
        <f t="shared" si="12"/>
        <v>112640</v>
      </c>
      <c r="K45" s="10">
        <f t="shared" si="12"/>
        <v>105156</v>
      </c>
      <c r="L45" s="10">
        <f t="shared" si="12"/>
        <v>99137</v>
      </c>
      <c r="M45" s="10">
        <f t="shared" si="12"/>
        <v>88915</v>
      </c>
      <c r="N45" s="10">
        <f t="shared" si="12"/>
        <v>77946</v>
      </c>
      <c r="O45" s="10">
        <f t="shared" si="12"/>
        <v>71422</v>
      </c>
      <c r="P45" s="10">
        <f t="shared" si="12"/>
        <v>72483.01999999999</v>
      </c>
      <c r="Q45" s="10">
        <f t="shared" si="12"/>
        <v>64400.154999999999</v>
      </c>
      <c r="R45" s="10">
        <f t="shared" si="12"/>
        <v>60151.226999999999</v>
      </c>
      <c r="S45" s="10">
        <f t="shared" si="12"/>
        <v>52952.226999999992</v>
      </c>
      <c r="T45" s="10">
        <f t="shared" si="12"/>
        <v>48109.906999999999</v>
      </c>
      <c r="U45" s="10">
        <f t="shared" si="12"/>
        <v>42545.551999999996</v>
      </c>
      <c r="V45" s="10">
        <f t="shared" si="12"/>
        <v>38762.499000000003</v>
      </c>
    </row>
    <row r="46" spans="1:22" ht="20" thickTop="1" x14ac:dyDescent="0.25">
      <c r="B46" s="35"/>
      <c r="C46" s="35"/>
      <c r="D46" s="35"/>
      <c r="E46" s="35"/>
      <c r="F46" s="35"/>
      <c r="G46" s="35"/>
      <c r="H46" s="35"/>
      <c r="I46" s="35"/>
      <c r="J46" s="35"/>
      <c r="K46" s="35"/>
      <c r="L46" s="35"/>
      <c r="M46" s="35"/>
      <c r="N46" s="35"/>
      <c r="O46" s="35"/>
      <c r="P46" s="35"/>
      <c r="Q46" s="35"/>
      <c r="R46" s="35"/>
      <c r="S46" s="35"/>
      <c r="T46" s="35"/>
      <c r="U46" s="35"/>
      <c r="V46" s="35"/>
    </row>
    <row r="47" spans="1:22" x14ac:dyDescent="0.25">
      <c r="A47" s="6" t="s">
        <v>120</v>
      </c>
      <c r="B47" s="9"/>
      <c r="C47" s="9"/>
      <c r="D47" s="9"/>
      <c r="E47" s="9"/>
      <c r="F47" s="9"/>
      <c r="G47" s="9"/>
      <c r="H47" s="9"/>
      <c r="I47" s="9"/>
      <c r="J47" s="9"/>
      <c r="K47" s="9"/>
      <c r="L47" s="9"/>
      <c r="M47" s="9"/>
      <c r="N47" s="9"/>
      <c r="O47" s="9"/>
      <c r="P47" s="9"/>
      <c r="Q47" s="9"/>
      <c r="R47" s="9"/>
      <c r="S47" s="9"/>
      <c r="T47" s="9"/>
      <c r="U47" s="9"/>
      <c r="V47" s="9"/>
    </row>
    <row r="48" spans="1:22" x14ac:dyDescent="0.25">
      <c r="A48" s="1" t="s">
        <v>78</v>
      </c>
      <c r="B48" s="9">
        <f>5268</f>
        <v>5268</v>
      </c>
      <c r="C48" s="9">
        <v>4262</v>
      </c>
      <c r="D48" s="9">
        <v>3633</v>
      </c>
      <c r="E48" s="9">
        <v>3063</v>
      </c>
      <c r="F48" s="9">
        <v>2787</v>
      </c>
      <c r="G48" s="9">
        <v>2644</v>
      </c>
      <c r="H48" s="9">
        <v>2326</v>
      </c>
      <c r="I48" s="9">
        <v>2308</v>
      </c>
      <c r="J48" s="9">
        <v>1880</v>
      </c>
      <c r="K48" s="8">
        <v>1810</v>
      </c>
      <c r="L48" s="9">
        <v>1632</v>
      </c>
      <c r="M48" s="9">
        <v>1395</v>
      </c>
      <c r="N48" s="9">
        <v>1310</v>
      </c>
      <c r="O48" s="9">
        <v>1273</v>
      </c>
      <c r="P48" s="9">
        <v>1393.3510000000001</v>
      </c>
      <c r="Q48" s="9">
        <v>1216.5170000000001</v>
      </c>
      <c r="R48" s="9">
        <v>1245.835</v>
      </c>
      <c r="S48" s="9">
        <v>1167.7360000000001</v>
      </c>
      <c r="T48" s="9">
        <v>1121.1220000000001</v>
      </c>
      <c r="U48" s="9">
        <v>927.59</v>
      </c>
      <c r="V48" s="9">
        <v>924.33</v>
      </c>
    </row>
    <row r="49" spans="1:22" x14ac:dyDescent="0.25">
      <c r="A49" s="1" t="s">
        <v>79</v>
      </c>
      <c r="B49" s="9">
        <v>1346</v>
      </c>
      <c r="C49" s="9">
        <v>1176</v>
      </c>
      <c r="D49" s="9">
        <v>860</v>
      </c>
      <c r="E49" s="9">
        <v>924</v>
      </c>
      <c r="F49" s="9">
        <v>939</v>
      </c>
      <c r="G49" s="9">
        <v>841</v>
      </c>
      <c r="H49" s="9">
        <v>778</v>
      </c>
      <c r="I49" s="9">
        <v>771</v>
      </c>
      <c r="J49" s="9">
        <v>796</v>
      </c>
      <c r="K49" s="8">
        <v>756</v>
      </c>
      <c r="L49" s="9">
        <v>668</v>
      </c>
      <c r="M49" s="9">
        <v>621</v>
      </c>
      <c r="N49" s="9">
        <v>547</v>
      </c>
      <c r="O49" s="9">
        <v>354</v>
      </c>
      <c r="P49" s="9">
        <v>419.75900000000001</v>
      </c>
      <c r="Q49" s="9">
        <v>287.04500000000002</v>
      </c>
      <c r="R49" s="9">
        <v>292.512</v>
      </c>
      <c r="S49" s="9">
        <v>241.50299999999999</v>
      </c>
      <c r="T49" s="9">
        <v>214.518</v>
      </c>
      <c r="U49" s="9">
        <v>199.04300000000001</v>
      </c>
      <c r="V49" s="9">
        <v>192.161</v>
      </c>
    </row>
    <row r="50" spans="1:22" x14ac:dyDescent="0.25">
      <c r="A50" s="1" t="s">
        <v>77</v>
      </c>
      <c r="B50" s="9">
        <v>1179</v>
      </c>
      <c r="C50" s="9">
        <v>1270</v>
      </c>
      <c r="D50" s="9">
        <v>942</v>
      </c>
      <c r="E50" s="9">
        <v>750</v>
      </c>
      <c r="F50" s="9">
        <v>754</v>
      </c>
      <c r="G50" s="9">
        <v>626</v>
      </c>
      <c r="H50" s="9">
        <v>568</v>
      </c>
      <c r="I50" s="9">
        <v>545</v>
      </c>
      <c r="J50" s="9">
        <v>544</v>
      </c>
      <c r="K50" s="8">
        <v>487</v>
      </c>
      <c r="L50" s="9">
        <v>459</v>
      </c>
      <c r="M50" s="9">
        <v>423</v>
      </c>
      <c r="N50" s="9">
        <v>220</v>
      </c>
      <c r="O50" s="9">
        <v>150</v>
      </c>
      <c r="P50" s="9">
        <v>155.72499999999999</v>
      </c>
      <c r="Q50" s="9">
        <v>105.024</v>
      </c>
      <c r="R50" s="9">
        <v>87.284999999999997</v>
      </c>
      <c r="S50" s="9">
        <v>65.063999999999993</v>
      </c>
      <c r="T50" s="9">
        <v>50.008000000000003</v>
      </c>
      <c r="U50" s="9">
        <v>29.995000000000001</v>
      </c>
      <c r="V50" s="9">
        <v>15.044</v>
      </c>
    </row>
    <row r="51" spans="1:22" ht="20" thickBot="1" x14ac:dyDescent="0.3">
      <c r="A51" s="6" t="s">
        <v>80</v>
      </c>
      <c r="B51" s="10">
        <f>SUM(B48:B50)</f>
        <v>7793</v>
      </c>
      <c r="C51" s="10">
        <f t="shared" ref="C51:V51" si="13">SUM(C48:C50)</f>
        <v>6708</v>
      </c>
      <c r="D51" s="10">
        <f t="shared" si="13"/>
        <v>5435</v>
      </c>
      <c r="E51" s="10">
        <f t="shared" si="13"/>
        <v>4737</v>
      </c>
      <c r="F51" s="10">
        <f t="shared" si="13"/>
        <v>4480</v>
      </c>
      <c r="G51" s="10">
        <f t="shared" si="13"/>
        <v>4111</v>
      </c>
      <c r="H51" s="10">
        <f t="shared" si="13"/>
        <v>3672</v>
      </c>
      <c r="I51" s="10">
        <f t="shared" si="13"/>
        <v>3624</v>
      </c>
      <c r="J51" s="10">
        <f t="shared" si="13"/>
        <v>3220</v>
      </c>
      <c r="K51" s="10">
        <f t="shared" si="13"/>
        <v>3053</v>
      </c>
      <c r="L51" s="10">
        <f t="shared" si="13"/>
        <v>2759</v>
      </c>
      <c r="M51" s="10">
        <f t="shared" si="13"/>
        <v>2439</v>
      </c>
      <c r="N51" s="10">
        <f t="shared" si="13"/>
        <v>2077</v>
      </c>
      <c r="O51" s="10">
        <f t="shared" si="13"/>
        <v>1777</v>
      </c>
      <c r="P51" s="10">
        <f t="shared" si="13"/>
        <v>1968.835</v>
      </c>
      <c r="Q51" s="10">
        <f t="shared" si="13"/>
        <v>1608.5860000000002</v>
      </c>
      <c r="R51" s="10">
        <f t="shared" si="13"/>
        <v>1625.6320000000001</v>
      </c>
      <c r="S51" s="10">
        <f t="shared" si="13"/>
        <v>1474.3030000000001</v>
      </c>
      <c r="T51" s="10">
        <f t="shared" si="13"/>
        <v>1385.6480000000001</v>
      </c>
      <c r="U51" s="10">
        <f t="shared" si="13"/>
        <v>1156.6279999999999</v>
      </c>
      <c r="V51" s="10">
        <f t="shared" si="13"/>
        <v>1131.5350000000001</v>
      </c>
    </row>
    <row r="52" spans="1:22" ht="20" thickTop="1" x14ac:dyDescent="0.25">
      <c r="B52" s="35"/>
      <c r="C52" s="35"/>
      <c r="D52" s="35"/>
      <c r="E52" s="35"/>
      <c r="F52" s="35"/>
      <c r="G52" s="35"/>
      <c r="H52" s="35"/>
      <c r="I52" s="35"/>
      <c r="J52" s="35"/>
      <c r="K52" s="35"/>
      <c r="L52" s="35"/>
      <c r="M52" s="35"/>
      <c r="N52" s="35"/>
      <c r="O52" s="35"/>
      <c r="P52" s="35"/>
      <c r="Q52" s="35"/>
      <c r="R52" s="35"/>
      <c r="S52" s="35"/>
      <c r="T52" s="35"/>
      <c r="U52" s="35"/>
      <c r="V52" s="35"/>
    </row>
    <row r="53" spans="1:22" x14ac:dyDescent="0.25">
      <c r="A53" s="6" t="s">
        <v>107</v>
      </c>
      <c r="B53" s="35"/>
      <c r="C53" s="35"/>
      <c r="D53" s="35"/>
      <c r="E53" s="35"/>
      <c r="F53" s="35"/>
      <c r="G53" s="35"/>
      <c r="H53" s="35"/>
      <c r="I53" s="35"/>
      <c r="J53" s="35"/>
      <c r="K53" s="35"/>
      <c r="L53" s="35"/>
      <c r="M53" s="35"/>
      <c r="N53" s="35"/>
      <c r="O53" s="35"/>
      <c r="P53" s="35"/>
      <c r="Q53" s="35"/>
      <c r="R53" s="35"/>
      <c r="S53" s="35"/>
      <c r="T53" s="35"/>
      <c r="U53" s="35"/>
      <c r="V53" s="35"/>
    </row>
    <row r="54" spans="1:22" x14ac:dyDescent="0.25">
      <c r="A54" s="1" t="s">
        <v>78</v>
      </c>
      <c r="B54" s="21">
        <f>B48/B42</f>
        <v>3.1870485317071401E-2</v>
      </c>
      <c r="C54" s="21">
        <f t="shared" ref="C54:V54" si="14">C48/C42</f>
        <v>3.0141869050481621E-2</v>
      </c>
      <c r="D54" s="21">
        <f t="shared" si="14"/>
        <v>2.9744068379427224E-2</v>
      </c>
      <c r="E54" s="21">
        <f t="shared" si="14"/>
        <v>2.7409150701112293E-2</v>
      </c>
      <c r="F54" s="21">
        <f t="shared" si="14"/>
        <v>2.7247130594607278E-2</v>
      </c>
      <c r="G54" s="21">
        <f t="shared" si="14"/>
        <v>2.8160913419037373E-2</v>
      </c>
      <c r="H54" s="21">
        <f t="shared" si="14"/>
        <v>2.6865637163746407E-2</v>
      </c>
      <c r="I54" s="21">
        <f t="shared" si="14"/>
        <v>2.7361857002288058E-2</v>
      </c>
      <c r="J54" s="21">
        <f t="shared" si="14"/>
        <v>2.3360711756153934E-2</v>
      </c>
      <c r="K54" s="21">
        <f t="shared" si="14"/>
        <v>2.3975732849403256E-2</v>
      </c>
      <c r="L54" s="21">
        <f t="shared" si="14"/>
        <v>2.2737405260811413E-2</v>
      </c>
      <c r="M54" s="21">
        <f t="shared" si="14"/>
        <v>2.1493282386293604E-2</v>
      </c>
      <c r="N54" s="21">
        <f t="shared" si="14"/>
        <v>2.1971018381859653E-2</v>
      </c>
      <c r="O54" s="21">
        <f t="shared" si="14"/>
        <v>2.2511848341232227E-2</v>
      </c>
      <c r="P54" s="21">
        <f t="shared" si="14"/>
        <v>2.4486363160754816E-2</v>
      </c>
      <c r="Q54" s="21">
        <f t="shared" si="14"/>
        <v>2.3606939337980245E-2</v>
      </c>
      <c r="R54" s="21">
        <f t="shared" si="14"/>
        <v>2.570538331699402E-2</v>
      </c>
      <c r="S54" s="21">
        <f t="shared" si="14"/>
        <v>2.7116007420691205E-2</v>
      </c>
      <c r="T54" s="21">
        <f t="shared" si="14"/>
        <v>2.8432945089606785E-2</v>
      </c>
      <c r="U54" s="21">
        <f t="shared" si="14"/>
        <v>2.6412738685702649E-2</v>
      </c>
      <c r="V54" s="21">
        <f t="shared" si="14"/>
        <v>2.8607451895668854E-2</v>
      </c>
    </row>
    <row r="55" spans="1:22" x14ac:dyDescent="0.25">
      <c r="A55" s="1" t="s">
        <v>79</v>
      </c>
      <c r="B55" s="21">
        <f>B49/B43</f>
        <v>4.2494080505130226E-2</v>
      </c>
      <c r="C55" s="21">
        <f t="shared" ref="C55:V55" si="15">C49/C43</f>
        <v>4.3080079126675948E-2</v>
      </c>
      <c r="D55" s="21">
        <f t="shared" si="15"/>
        <v>3.8334670589284123E-2</v>
      </c>
      <c r="E55" s="21">
        <f t="shared" si="15"/>
        <v>4.3246279135074416E-2</v>
      </c>
      <c r="F55" s="21">
        <f t="shared" si="15"/>
        <v>4.5386437237179181E-2</v>
      </c>
      <c r="G55" s="21">
        <f t="shared" si="15"/>
        <v>4.4793608521970708E-2</v>
      </c>
      <c r="H55" s="21">
        <f t="shared" si="15"/>
        <v>4.5689452666196853E-2</v>
      </c>
      <c r="I55" s="21">
        <f t="shared" si="15"/>
        <v>4.4461103742575399E-2</v>
      </c>
      <c r="J55" s="21">
        <f t="shared" si="15"/>
        <v>4.436270411859778E-2</v>
      </c>
      <c r="K55" s="21">
        <f t="shared" si="15"/>
        <v>4.4007218115140578E-2</v>
      </c>
      <c r="L55" s="21">
        <f t="shared" si="15"/>
        <v>4.2501749697779471E-2</v>
      </c>
      <c r="M55" s="21">
        <f t="shared" si="15"/>
        <v>4.4293865905848787E-2</v>
      </c>
      <c r="N55" s="21">
        <f t="shared" si="15"/>
        <v>4.5390424031200728E-2</v>
      </c>
      <c r="O55" s="21">
        <f t="shared" si="15"/>
        <v>3.6356167197288694E-2</v>
      </c>
      <c r="P55" s="21">
        <f t="shared" si="15"/>
        <v>3.9871570227978805E-2</v>
      </c>
      <c r="Q55" s="21">
        <f t="shared" si="15"/>
        <v>3.2904563525770786E-2</v>
      </c>
      <c r="R55" s="21">
        <f t="shared" si="15"/>
        <v>3.6015980835605428E-2</v>
      </c>
      <c r="S55" s="21">
        <f t="shared" si="15"/>
        <v>3.5872255360941706E-2</v>
      </c>
      <c r="T55" s="21">
        <f t="shared" si="15"/>
        <v>3.5498857760814038E-2</v>
      </c>
      <c r="U55" s="21">
        <f t="shared" si="15"/>
        <v>3.8006898193878466E-2</v>
      </c>
      <c r="V55" s="21">
        <f t="shared" si="15"/>
        <v>4.0453474010314995E-2</v>
      </c>
    </row>
    <row r="56" spans="1:22" x14ac:dyDescent="0.25">
      <c r="A56" s="1" t="s">
        <v>77</v>
      </c>
      <c r="B56" s="21">
        <f>B50/B44</f>
        <v>3.9319659829914956E-2</v>
      </c>
      <c r="C56" s="21">
        <f t="shared" ref="C56:V56" si="16">C50/C44</f>
        <v>4.663459773069438E-2</v>
      </c>
      <c r="D56" s="21">
        <f t="shared" si="16"/>
        <v>4.2461122379986477E-2</v>
      </c>
      <c r="E56" s="21">
        <f t="shared" si="16"/>
        <v>3.8292658021035431E-2</v>
      </c>
      <c r="F56" s="21">
        <f t="shared" si="16"/>
        <v>4.053545508306005E-2</v>
      </c>
      <c r="G56" s="21">
        <f t="shared" si="16"/>
        <v>3.8261719943768716E-2</v>
      </c>
      <c r="H56" s="21">
        <f t="shared" si="16"/>
        <v>3.7586024351508734E-2</v>
      </c>
      <c r="I56" s="21">
        <f t="shared" si="16"/>
        <v>3.7568070586613357E-2</v>
      </c>
      <c r="J56" s="21">
        <f t="shared" si="16"/>
        <v>3.8255977496483823E-2</v>
      </c>
      <c r="K56" s="21">
        <f t="shared" si="16"/>
        <v>3.9009932713873756E-2</v>
      </c>
      <c r="L56" s="21">
        <f t="shared" si="16"/>
        <v>3.9419443490209552E-2</v>
      </c>
      <c r="M56" s="21">
        <f t="shared" si="16"/>
        <v>4.2338104293864476E-2</v>
      </c>
      <c r="N56" s="21">
        <f t="shared" si="16"/>
        <v>3.5082124063147826E-2</v>
      </c>
      <c r="O56" s="21">
        <f t="shared" si="16"/>
        <v>2.9199922133540977E-2</v>
      </c>
      <c r="P56" s="21">
        <f t="shared" si="16"/>
        <v>3.0823809737770484E-2</v>
      </c>
      <c r="Q56" s="21">
        <f t="shared" si="16"/>
        <v>2.5341091565395841E-2</v>
      </c>
      <c r="R56" s="21">
        <f t="shared" si="16"/>
        <v>2.4493620321805507E-2</v>
      </c>
      <c r="S56" s="21">
        <f t="shared" si="16"/>
        <v>2.0619438821931065E-2</v>
      </c>
      <c r="T56" s="21">
        <f t="shared" si="16"/>
        <v>1.8967095836023073E-2</v>
      </c>
      <c r="U56" s="21">
        <f t="shared" si="16"/>
        <v>1.3699537335178513E-2</v>
      </c>
      <c r="V56" s="21">
        <f t="shared" si="16"/>
        <v>8.8415375953415608E-3</v>
      </c>
    </row>
    <row r="57" spans="1:22" x14ac:dyDescent="0.25">
      <c r="A57" s="6" t="s">
        <v>238</v>
      </c>
      <c r="B57" s="37">
        <f>B51/B45</f>
        <v>3.4337354706240032E-2</v>
      </c>
      <c r="C57" s="37">
        <f t="shared" ref="C57:V57" si="17">C51/C45</f>
        <v>3.4236891935343926E-2</v>
      </c>
      <c r="D57" s="37">
        <f t="shared" si="17"/>
        <v>3.259155318089961E-2</v>
      </c>
      <c r="E57" s="37">
        <f t="shared" si="17"/>
        <v>3.1021001552032378E-2</v>
      </c>
      <c r="F57" s="37">
        <f t="shared" si="17"/>
        <v>3.164378143188111E-2</v>
      </c>
      <c r="G57" s="37">
        <f t="shared" si="17"/>
        <v>3.1862042239875994E-2</v>
      </c>
      <c r="H57" s="37">
        <f t="shared" si="17"/>
        <v>3.0930179667955426E-2</v>
      </c>
      <c r="I57" s="37">
        <f t="shared" si="17"/>
        <v>3.1187875971393903E-2</v>
      </c>
      <c r="J57" s="37">
        <f t="shared" si="17"/>
        <v>2.8586647727272728E-2</v>
      </c>
      <c r="K57" s="37">
        <f t="shared" si="17"/>
        <v>2.9033055650652364E-2</v>
      </c>
      <c r="L57" s="37">
        <f t="shared" si="17"/>
        <v>2.7830174405116152E-2</v>
      </c>
      <c r="M57" s="37">
        <f t="shared" si="17"/>
        <v>2.7430692234156218E-2</v>
      </c>
      <c r="N57" s="37">
        <f t="shared" si="17"/>
        <v>2.6646652810920379E-2</v>
      </c>
      <c r="O57" s="37">
        <f t="shared" si="17"/>
        <v>2.4880288986586768E-2</v>
      </c>
      <c r="P57" s="37">
        <f t="shared" si="17"/>
        <v>2.7162706520782388E-2</v>
      </c>
      <c r="Q57" s="37">
        <f t="shared" si="17"/>
        <v>2.4977983360443781E-2</v>
      </c>
      <c r="R57" s="37">
        <f t="shared" si="17"/>
        <v>2.7025749616046903E-2</v>
      </c>
      <c r="S57" s="37">
        <f t="shared" si="17"/>
        <v>2.7842134005053278E-2</v>
      </c>
      <c r="T57" s="37">
        <f t="shared" si="17"/>
        <v>2.8801718531694526E-2</v>
      </c>
      <c r="U57" s="37">
        <f t="shared" si="17"/>
        <v>2.7185638583323589E-2</v>
      </c>
      <c r="V57" s="37">
        <f t="shared" si="17"/>
        <v>2.9191487370306027E-2</v>
      </c>
    </row>
    <row r="58" spans="1:22" x14ac:dyDescent="0.25">
      <c r="A58" s="6"/>
      <c r="B58" s="35"/>
      <c r="C58" s="35"/>
      <c r="D58" s="35"/>
      <c r="E58" s="35"/>
      <c r="F58" s="35"/>
      <c r="G58" s="35"/>
      <c r="H58" s="35"/>
      <c r="I58" s="35"/>
      <c r="J58" s="35"/>
      <c r="K58" s="35"/>
      <c r="L58" s="35"/>
      <c r="M58" s="35"/>
      <c r="N58" s="35"/>
      <c r="O58" s="35"/>
      <c r="P58" s="35"/>
      <c r="Q58" s="35"/>
      <c r="R58" s="35"/>
      <c r="S58" s="35"/>
      <c r="T58" s="35"/>
      <c r="U58" s="35"/>
      <c r="V58" s="35"/>
    </row>
    <row r="59" spans="1:22" x14ac:dyDescent="0.25">
      <c r="A59" s="6" t="s">
        <v>240</v>
      </c>
      <c r="B59" s="35"/>
      <c r="C59" s="35"/>
      <c r="D59" s="35"/>
      <c r="E59" s="35"/>
      <c r="F59" s="35"/>
      <c r="G59" s="35"/>
      <c r="H59" s="35"/>
      <c r="I59" s="35"/>
      <c r="J59" s="35"/>
      <c r="K59" s="35"/>
      <c r="L59" s="35"/>
      <c r="M59" s="35"/>
      <c r="N59" s="35"/>
      <c r="O59" s="35"/>
      <c r="P59" s="35"/>
      <c r="Q59" s="35"/>
      <c r="R59" s="35"/>
      <c r="S59" s="35"/>
      <c r="T59" s="35"/>
      <c r="U59" s="35"/>
      <c r="V59" s="35"/>
    </row>
    <row r="60" spans="1:22" x14ac:dyDescent="0.25">
      <c r="A60" s="1" t="s">
        <v>78</v>
      </c>
      <c r="B60" s="14">
        <f>(B42/C42)-1</f>
        <v>0.16899814707421612</v>
      </c>
      <c r="C60" s="14">
        <f t="shared" ref="C60:U63" si="18">(C42/D42)-1</f>
        <v>0.15765256832211683</v>
      </c>
      <c r="D60" s="14">
        <f t="shared" si="18"/>
        <v>9.2983507977557167E-2</v>
      </c>
      <c r="E60" s="14">
        <f t="shared" si="18"/>
        <v>9.2534657724419711E-2</v>
      </c>
      <c r="F60" s="14">
        <f t="shared" si="18"/>
        <v>8.9435397117873183E-2</v>
      </c>
      <c r="G60" s="14">
        <f t="shared" si="18"/>
        <v>8.4431559616073182E-2</v>
      </c>
      <c r="H60" s="14">
        <f t="shared" si="18"/>
        <v>2.64134390819315E-2</v>
      </c>
      <c r="I60" s="14">
        <f t="shared" si="18"/>
        <v>4.8137977310287461E-2</v>
      </c>
      <c r="J60" s="14">
        <f t="shared" si="18"/>
        <v>6.6019366033936988E-2</v>
      </c>
      <c r="K60" s="14">
        <f t="shared" si="18"/>
        <v>5.1786112349531788E-2</v>
      </c>
      <c r="L60" s="14">
        <f t="shared" si="18"/>
        <v>0.10587945273018606</v>
      </c>
      <c r="M60" s="14">
        <f t="shared" si="18"/>
        <v>8.8554944317724482E-2</v>
      </c>
      <c r="N60" s="14">
        <f t="shared" si="18"/>
        <v>5.4396265119898146E-2</v>
      </c>
      <c r="O60" s="14">
        <f t="shared" si="18"/>
        <v>-6.2411667882943389E-3</v>
      </c>
      <c r="P60" s="14">
        <f t="shared" si="18"/>
        <v>0.10422544143195345</v>
      </c>
      <c r="Q60" s="14">
        <f t="shared" si="18"/>
        <v>6.3266314278829894E-2</v>
      </c>
      <c r="R60" s="14">
        <f t="shared" si="18"/>
        <v>0.12542748715344154</v>
      </c>
      <c r="S60" s="14">
        <f t="shared" si="18"/>
        <v>9.2164099027587376E-2</v>
      </c>
      <c r="T60" s="14">
        <f t="shared" si="18"/>
        <v>0.12276380911220275</v>
      </c>
      <c r="U60" s="14">
        <f t="shared" si="18"/>
        <v>8.6912919427713398E-2</v>
      </c>
      <c r="V60" s="14"/>
    </row>
    <row r="61" spans="1:22" x14ac:dyDescent="0.25">
      <c r="A61" s="1" t="s">
        <v>79</v>
      </c>
      <c r="B61" s="14">
        <f t="shared" ref="B61:Q62" si="19">(B43/C43)-1</f>
        <v>0.16034141695362303</v>
      </c>
      <c r="C61" s="14">
        <f t="shared" si="19"/>
        <v>0.21681376482125336</v>
      </c>
      <c r="D61" s="14">
        <f t="shared" si="19"/>
        <v>4.9985959000280911E-2</v>
      </c>
      <c r="E61" s="14">
        <f t="shared" si="19"/>
        <v>3.2722702885591426E-2</v>
      </c>
      <c r="F61" s="14">
        <f t="shared" si="19"/>
        <v>0.10194407456724375</v>
      </c>
      <c r="G61" s="14">
        <f t="shared" si="19"/>
        <v>0.10259572468874789</v>
      </c>
      <c r="H61" s="14">
        <f t="shared" si="19"/>
        <v>-1.8049708782653773E-2</v>
      </c>
      <c r="I61" s="14">
        <f t="shared" si="19"/>
        <v>-3.3550688290698294E-2</v>
      </c>
      <c r="J61" s="14">
        <f t="shared" si="19"/>
        <v>4.4472902962919836E-2</v>
      </c>
      <c r="K61" s="14">
        <f t="shared" si="19"/>
        <v>9.3020296494241927E-2</v>
      </c>
      <c r="L61" s="14">
        <f t="shared" si="19"/>
        <v>0.12104136947218258</v>
      </c>
      <c r="M61" s="14">
        <f t="shared" si="19"/>
        <v>0.16338893037922153</v>
      </c>
      <c r="N61" s="14">
        <f t="shared" si="19"/>
        <v>0.23765020026702266</v>
      </c>
      <c r="O61" s="14">
        <f t="shared" si="19"/>
        <v>-7.5113388135025994E-2</v>
      </c>
      <c r="P61" s="14">
        <f t="shared" si="19"/>
        <v>0.20682090641414597</v>
      </c>
      <c r="Q61" s="14">
        <f t="shared" si="19"/>
        <v>7.4101718255031424E-2</v>
      </c>
      <c r="R61" s="14">
        <f t="shared" si="18"/>
        <v>0.20638129045233544</v>
      </c>
      <c r="S61" s="14">
        <f t="shared" si="18"/>
        <v>0.11407515031966975</v>
      </c>
      <c r="T61" s="14">
        <f t="shared" si="18"/>
        <v>0.15389124699280488</v>
      </c>
      <c r="U61" s="14">
        <f t="shared" si="18"/>
        <v>0.10249100401185407</v>
      </c>
      <c r="V61" s="14"/>
    </row>
    <row r="62" spans="1:22" x14ac:dyDescent="0.25">
      <c r="A62" s="1" t="s">
        <v>77</v>
      </c>
      <c r="B62" s="14">
        <f t="shared" si="19"/>
        <v>0.10105386846840236</v>
      </c>
      <c r="C62" s="14">
        <f t="shared" si="18"/>
        <v>0.2275411313950868</v>
      </c>
      <c r="D62" s="14">
        <f t="shared" si="18"/>
        <v>0.13269682426222817</v>
      </c>
      <c r="E62" s="14">
        <f t="shared" si="18"/>
        <v>5.2954142250416725E-2</v>
      </c>
      <c r="F62" s="14">
        <f t="shared" si="18"/>
        <v>0.13691094676364535</v>
      </c>
      <c r="G62" s="14">
        <f t="shared" si="18"/>
        <v>8.264955002646901E-2</v>
      </c>
      <c r="H62" s="14">
        <f t="shared" si="18"/>
        <v>4.1704004963121211E-2</v>
      </c>
      <c r="I62" s="14">
        <f t="shared" si="18"/>
        <v>2.0182841068917101E-2</v>
      </c>
      <c r="J62" s="14">
        <f t="shared" si="18"/>
        <v>0.13905799423261778</v>
      </c>
      <c r="K62" s="14">
        <f t="shared" si="18"/>
        <v>7.2140158021298584E-2</v>
      </c>
      <c r="L62" s="14">
        <f t="shared" si="18"/>
        <v>0.16544890401361223</v>
      </c>
      <c r="M62" s="14">
        <f t="shared" si="18"/>
        <v>0.59320682506777223</v>
      </c>
      <c r="N62" s="14">
        <f t="shared" si="18"/>
        <v>0.22075141132956988</v>
      </c>
      <c r="O62" s="14">
        <f t="shared" si="18"/>
        <v>1.6804691751016065E-2</v>
      </c>
      <c r="P62" s="14">
        <f t="shared" si="18"/>
        <v>0.21901426377426003</v>
      </c>
      <c r="Q62" s="14">
        <f t="shared" si="18"/>
        <v>0.16299166484499716</v>
      </c>
      <c r="R62" s="14">
        <f t="shared" si="18"/>
        <v>0.12933481520496648</v>
      </c>
      <c r="S62" s="14">
        <f t="shared" si="18"/>
        <v>0.19681016898496018</v>
      </c>
      <c r="T62" s="14">
        <f t="shared" si="18"/>
        <v>0.20419184376270283</v>
      </c>
      <c r="U62" s="14">
        <f t="shared" si="18"/>
        <v>0.28678929471047554</v>
      </c>
      <c r="V62" s="14"/>
    </row>
    <row r="63" spans="1:22" x14ac:dyDescent="0.25">
      <c r="A63" s="6" t="s">
        <v>238</v>
      </c>
      <c r="B63" s="69">
        <f>(B45/C45)-1</f>
        <v>0.15834817714580285</v>
      </c>
      <c r="C63" s="69">
        <f t="shared" si="18"/>
        <v>0.17490900150514799</v>
      </c>
      <c r="D63" s="69">
        <f t="shared" si="18"/>
        <v>9.2061059704131587E-2</v>
      </c>
      <c r="E63" s="69">
        <f t="shared" si="18"/>
        <v>7.8593829462620723E-2</v>
      </c>
      <c r="F63" s="69">
        <f t="shared" si="18"/>
        <v>9.7275721759348954E-2</v>
      </c>
      <c r="G63" s="69">
        <f t="shared" si="18"/>
        <v>8.6810030407937999E-2</v>
      </c>
      <c r="H63" s="69">
        <f t="shared" si="18"/>
        <v>2.1686933622492521E-2</v>
      </c>
      <c r="I63" s="69">
        <f t="shared" si="18"/>
        <v>3.1596235795454453E-2</v>
      </c>
      <c r="J63" s="69">
        <f t="shared" si="18"/>
        <v>7.117045151964696E-2</v>
      </c>
      <c r="K63" s="69">
        <f t="shared" si="18"/>
        <v>6.0713961487638413E-2</v>
      </c>
      <c r="L63" s="69">
        <f t="shared" si="18"/>
        <v>0.1149637294044874</v>
      </c>
      <c r="M63" s="69">
        <f t="shared" si="18"/>
        <v>0.14072563056474996</v>
      </c>
      <c r="N63" s="69">
        <f t="shared" si="18"/>
        <v>9.1344403685138964E-2</v>
      </c>
      <c r="O63" s="69">
        <f t="shared" si="18"/>
        <v>-1.4638186985034385E-2</v>
      </c>
      <c r="P63" s="69">
        <f t="shared" si="18"/>
        <v>0.12551002400537681</v>
      </c>
      <c r="Q63" s="69">
        <f t="shared" si="18"/>
        <v>7.0637428559852999E-2</v>
      </c>
      <c r="R63" s="69">
        <f t="shared" si="18"/>
        <v>0.13595273339495262</v>
      </c>
      <c r="S63" s="69">
        <f t="shared" si="18"/>
        <v>0.1006512026722477</v>
      </c>
      <c r="T63" s="69">
        <f t="shared" si="18"/>
        <v>0.13078582221709101</v>
      </c>
      <c r="U63" s="69">
        <f t="shared" si="18"/>
        <v>9.7595694230137031E-2</v>
      </c>
      <c r="V63" s="14"/>
    </row>
    <row r="64" spans="1:22" x14ac:dyDescent="0.25">
      <c r="A64" s="6"/>
      <c r="B64" s="9"/>
      <c r="C64" s="9"/>
      <c r="D64" s="9"/>
      <c r="E64" s="9"/>
      <c r="F64" s="9"/>
      <c r="G64" s="9"/>
      <c r="H64" s="9"/>
      <c r="I64" s="9"/>
      <c r="J64" s="9"/>
      <c r="K64" s="9"/>
      <c r="L64" s="9"/>
      <c r="M64" s="9"/>
      <c r="N64" s="9"/>
      <c r="O64" s="9"/>
      <c r="P64" s="9"/>
      <c r="Q64" s="9"/>
      <c r="R64" s="9"/>
      <c r="S64" s="9"/>
      <c r="T64" s="9"/>
      <c r="U64" s="9"/>
      <c r="V64" s="9"/>
    </row>
    <row r="65" spans="1:22" x14ac:dyDescent="0.25">
      <c r="A65" s="6" t="s">
        <v>239</v>
      </c>
      <c r="B65" s="9"/>
      <c r="C65" s="9"/>
      <c r="D65" s="9"/>
      <c r="E65" s="9"/>
      <c r="F65" s="9"/>
      <c r="G65" s="9"/>
      <c r="H65" s="9"/>
      <c r="I65" s="9"/>
      <c r="J65" s="9"/>
      <c r="K65" s="9"/>
      <c r="L65" s="9"/>
      <c r="M65" s="9"/>
      <c r="N65" s="9"/>
      <c r="O65" s="9"/>
      <c r="P65" s="9"/>
      <c r="Q65" s="9"/>
      <c r="R65" s="9"/>
      <c r="S65" s="9"/>
      <c r="T65" s="9"/>
      <c r="U65" s="9"/>
      <c r="V65" s="9"/>
    </row>
    <row r="66" spans="1:22" x14ac:dyDescent="0.25">
      <c r="A66" s="73" t="s">
        <v>78</v>
      </c>
      <c r="B66" s="14">
        <v>0.16</v>
      </c>
      <c r="C66" s="14">
        <v>0.15</v>
      </c>
      <c r="D66" s="14">
        <v>0.08</v>
      </c>
      <c r="E66" s="14">
        <v>0.08</v>
      </c>
      <c r="F66" s="14">
        <v>0.09</v>
      </c>
      <c r="G66" s="14">
        <v>0.04</v>
      </c>
      <c r="H66" s="14">
        <v>0.01</v>
      </c>
      <c r="I66" s="14">
        <v>0.03</v>
      </c>
      <c r="J66" s="14">
        <v>0.05</v>
      </c>
      <c r="K66" s="14">
        <v>0.06</v>
      </c>
      <c r="L66" s="14">
        <v>7.0000000000000007E-2</v>
      </c>
      <c r="M66" s="14">
        <v>7.0000000000000007E-2</v>
      </c>
      <c r="N66" s="14">
        <v>0.04</v>
      </c>
      <c r="O66" s="14"/>
      <c r="P66" s="14"/>
      <c r="Q66" s="14"/>
      <c r="R66" s="14"/>
      <c r="S66" s="14"/>
      <c r="T66" s="14"/>
      <c r="U66" s="14"/>
      <c r="V66" s="14"/>
    </row>
    <row r="67" spans="1:22" x14ac:dyDescent="0.25">
      <c r="A67" s="73" t="s">
        <v>79</v>
      </c>
      <c r="B67" s="14">
        <v>0.15</v>
      </c>
      <c r="C67" s="14">
        <v>0.2</v>
      </c>
      <c r="D67" s="14">
        <v>0.05</v>
      </c>
      <c r="E67" s="14">
        <v>0.02</v>
      </c>
      <c r="F67" s="14">
        <v>0.09</v>
      </c>
      <c r="G67" s="14">
        <v>0.05</v>
      </c>
      <c r="H67" s="14">
        <v>-0.03</v>
      </c>
      <c r="I67" s="14">
        <v>-0.05</v>
      </c>
      <c r="J67" s="14">
        <v>0.02</v>
      </c>
      <c r="K67" s="14">
        <v>0.09</v>
      </c>
      <c r="L67" s="88">
        <v>0.06</v>
      </c>
      <c r="M67" s="88">
        <v>0.16</v>
      </c>
      <c r="N67" s="88">
        <v>0.19</v>
      </c>
      <c r="O67" s="76"/>
      <c r="P67" s="76"/>
      <c r="Q67" s="76"/>
      <c r="R67" s="76"/>
      <c r="S67" s="76"/>
      <c r="T67" s="76"/>
      <c r="U67" s="76"/>
      <c r="V67" s="76"/>
    </row>
    <row r="68" spans="1:22" x14ac:dyDescent="0.25">
      <c r="A68" s="73" t="s">
        <v>77</v>
      </c>
      <c r="B68" s="14">
        <v>7.0000000000000007E-2</v>
      </c>
      <c r="C68" s="14">
        <v>0.19</v>
      </c>
      <c r="D68" s="14">
        <v>0.09</v>
      </c>
      <c r="E68" s="14">
        <v>0.02</v>
      </c>
      <c r="F68" s="14">
        <v>0.11</v>
      </c>
      <c r="G68" s="14">
        <v>0.02</v>
      </c>
      <c r="H68" s="14">
        <v>-0.03</v>
      </c>
      <c r="I68" s="14">
        <v>-0.03</v>
      </c>
      <c r="J68" s="14">
        <v>0.03</v>
      </c>
      <c r="K68" s="14">
        <v>0.01</v>
      </c>
      <c r="L68" s="88"/>
      <c r="M68" s="88"/>
      <c r="N68" s="88"/>
      <c r="O68" s="76"/>
      <c r="P68" s="76"/>
      <c r="Q68" s="76"/>
      <c r="R68" s="76"/>
      <c r="S68" s="76"/>
      <c r="T68" s="76"/>
      <c r="U68" s="76"/>
      <c r="V68" s="76"/>
    </row>
    <row r="69" spans="1:22" s="6" customFormat="1" x14ac:dyDescent="0.25">
      <c r="A69" s="74" t="s">
        <v>238</v>
      </c>
      <c r="B69" s="69">
        <v>0.14000000000000001</v>
      </c>
      <c r="C69" s="69">
        <v>0.16</v>
      </c>
      <c r="D69" s="69">
        <v>0.08</v>
      </c>
      <c r="E69" s="69">
        <v>0.06</v>
      </c>
      <c r="F69" s="69">
        <v>0.09</v>
      </c>
      <c r="G69" s="69">
        <v>0.04</v>
      </c>
      <c r="H69" s="69">
        <v>0</v>
      </c>
      <c r="I69" s="69">
        <v>0.01</v>
      </c>
      <c r="J69" s="69">
        <v>0.04</v>
      </c>
      <c r="K69" s="69">
        <v>0.06</v>
      </c>
      <c r="L69" s="69">
        <v>7.0000000000000007E-2</v>
      </c>
      <c r="M69" s="69">
        <v>0.1</v>
      </c>
      <c r="N69" s="69">
        <v>7.0000000000000007E-2</v>
      </c>
      <c r="O69" s="69"/>
      <c r="P69" s="69"/>
      <c r="Q69" s="69"/>
      <c r="R69" s="69"/>
      <c r="S69" s="69"/>
      <c r="T69" s="69"/>
      <c r="U69" s="69"/>
      <c r="V69" s="69"/>
    </row>
    <row r="70" spans="1:22" x14ac:dyDescent="0.25">
      <c r="A70" s="6"/>
      <c r="B70" s="14"/>
      <c r="C70" s="14"/>
      <c r="D70" s="14"/>
      <c r="E70" s="14"/>
      <c r="F70" s="14"/>
      <c r="G70" s="14"/>
      <c r="H70" s="14"/>
      <c r="I70" s="14"/>
      <c r="J70" s="14"/>
      <c r="K70" s="14"/>
      <c r="L70" s="14"/>
      <c r="M70" s="14"/>
      <c r="N70" s="14"/>
      <c r="O70" s="14"/>
      <c r="P70" s="14"/>
      <c r="Q70" s="14"/>
      <c r="R70" s="14"/>
      <c r="S70" s="14"/>
      <c r="T70" s="14"/>
      <c r="U70" s="14"/>
      <c r="V70" s="14"/>
    </row>
    <row r="71" spans="1:22" x14ac:dyDescent="0.25">
      <c r="A71" s="6" t="s">
        <v>241</v>
      </c>
      <c r="B71" s="14"/>
      <c r="C71" s="14"/>
      <c r="D71" s="14"/>
      <c r="E71" s="14"/>
      <c r="F71" s="14"/>
      <c r="G71" s="14"/>
      <c r="H71" s="14"/>
      <c r="I71" s="14"/>
      <c r="J71" s="14"/>
      <c r="K71" s="14"/>
      <c r="L71" s="14"/>
      <c r="M71" s="14"/>
      <c r="N71" s="14"/>
      <c r="O71" s="14"/>
      <c r="P71" s="14"/>
      <c r="Q71" s="14"/>
      <c r="R71" s="14"/>
      <c r="S71" s="14"/>
      <c r="T71" s="14"/>
      <c r="U71" s="14"/>
      <c r="V71" s="14"/>
    </row>
    <row r="72" spans="1:22" x14ac:dyDescent="0.25">
      <c r="A72" s="73" t="s">
        <v>78</v>
      </c>
      <c r="B72" s="14">
        <v>0.1</v>
      </c>
      <c r="C72" s="14">
        <v>0.14000000000000001</v>
      </c>
      <c r="D72" s="14">
        <v>0.09</v>
      </c>
      <c r="E72" s="14">
        <v>0.06</v>
      </c>
      <c r="F72" s="14">
        <v>7.0000000000000007E-2</v>
      </c>
      <c r="G72" s="14">
        <v>0.04</v>
      </c>
      <c r="H72" s="14">
        <v>0.03</v>
      </c>
      <c r="I72" s="14">
        <v>0.06</v>
      </c>
      <c r="J72" s="14">
        <v>0.05</v>
      </c>
      <c r="K72" s="14">
        <v>0.06</v>
      </c>
      <c r="L72" s="14">
        <v>0.06</v>
      </c>
      <c r="M72" s="14">
        <v>0.05</v>
      </c>
      <c r="N72" s="14">
        <v>0.02</v>
      </c>
      <c r="O72" s="14"/>
      <c r="P72" s="14"/>
      <c r="Q72" s="14"/>
      <c r="R72" s="14"/>
      <c r="S72" s="14"/>
      <c r="T72" s="14"/>
      <c r="U72" s="14"/>
      <c r="V72" s="14"/>
    </row>
    <row r="73" spans="1:22" x14ac:dyDescent="0.25">
      <c r="A73" s="73" t="s">
        <v>79</v>
      </c>
      <c r="B73" s="14">
        <v>0.12</v>
      </c>
      <c r="C73" s="14">
        <v>0.12</v>
      </c>
      <c r="D73" s="14">
        <v>7.0000000000000007E-2</v>
      </c>
      <c r="E73" s="14">
        <v>0.05</v>
      </c>
      <c r="F73" s="14">
        <v>0.04</v>
      </c>
      <c r="G73" s="14">
        <v>0.04</v>
      </c>
      <c r="H73" s="14">
        <v>0.08</v>
      </c>
      <c r="I73" s="14">
        <v>0.08</v>
      </c>
      <c r="J73" s="14">
        <v>0.09</v>
      </c>
      <c r="K73" s="14">
        <v>0.09</v>
      </c>
      <c r="L73" s="88">
        <v>0.08</v>
      </c>
      <c r="M73" s="88">
        <v>0.1</v>
      </c>
      <c r="N73" s="88">
        <v>0.08</v>
      </c>
      <c r="O73" s="76"/>
      <c r="P73" s="76"/>
      <c r="Q73" s="76"/>
      <c r="R73" s="76"/>
      <c r="S73" s="76"/>
      <c r="T73" s="76"/>
      <c r="U73" s="76"/>
      <c r="V73" s="76"/>
    </row>
    <row r="74" spans="1:22" x14ac:dyDescent="0.25">
      <c r="A74" s="73" t="s">
        <v>77</v>
      </c>
      <c r="B74" s="14">
        <v>0.1</v>
      </c>
      <c r="C74" s="14">
        <v>0.13</v>
      </c>
      <c r="D74" s="14">
        <v>0.11</v>
      </c>
      <c r="E74" s="14">
        <v>0.06</v>
      </c>
      <c r="F74" s="14">
        <v>7.0000000000000007E-2</v>
      </c>
      <c r="G74" s="14">
        <v>0.04</v>
      </c>
      <c r="H74" s="14">
        <v>0.04</v>
      </c>
      <c r="I74" s="14">
        <v>0.06</v>
      </c>
      <c r="J74" s="14">
        <v>0.04</v>
      </c>
      <c r="K74" s="14">
        <v>0.02</v>
      </c>
      <c r="L74" s="88"/>
      <c r="M74" s="88"/>
      <c r="N74" s="88"/>
      <c r="O74" s="76"/>
      <c r="P74" s="76"/>
      <c r="Q74" s="76"/>
      <c r="R74" s="76"/>
      <c r="S74" s="76"/>
      <c r="T74" s="76"/>
      <c r="U74" s="76"/>
      <c r="V74" s="76"/>
    </row>
    <row r="75" spans="1:22" s="6" customFormat="1" x14ac:dyDescent="0.25">
      <c r="A75" s="74" t="s">
        <v>238</v>
      </c>
      <c r="B75" s="69">
        <v>0.11</v>
      </c>
      <c r="C75" s="69">
        <v>0.13</v>
      </c>
      <c r="D75" s="69">
        <v>0.09</v>
      </c>
      <c r="E75" s="69">
        <v>0.06</v>
      </c>
      <c r="F75" s="69">
        <v>7.0000000000000007E-2</v>
      </c>
      <c r="G75" s="69">
        <v>0.04</v>
      </c>
      <c r="H75" s="69">
        <v>0.04</v>
      </c>
      <c r="I75" s="69">
        <v>7.0000000000000007E-2</v>
      </c>
      <c r="J75" s="69">
        <v>0.06</v>
      </c>
      <c r="K75" s="69">
        <v>0.06</v>
      </c>
      <c r="L75" s="69">
        <v>0.06</v>
      </c>
      <c r="M75" s="69">
        <v>0.06</v>
      </c>
      <c r="N75" s="69">
        <v>0.04</v>
      </c>
      <c r="O75" s="69"/>
      <c r="P75" s="69"/>
      <c r="Q75" s="69"/>
      <c r="R75" s="69"/>
      <c r="S75" s="69"/>
      <c r="T75" s="69"/>
      <c r="U75" s="69"/>
      <c r="V75" s="69"/>
    </row>
    <row r="76" spans="1:22" x14ac:dyDescent="0.25">
      <c r="A76" s="6"/>
      <c r="B76" s="27"/>
      <c r="C76" s="27"/>
      <c r="D76" s="27"/>
      <c r="E76" s="27"/>
      <c r="F76" s="27"/>
      <c r="G76" s="27"/>
      <c r="H76" s="27"/>
      <c r="I76" s="27"/>
      <c r="J76" s="27"/>
      <c r="K76" s="27"/>
      <c r="L76" s="27"/>
      <c r="M76" s="27"/>
      <c r="N76" s="27"/>
      <c r="O76" s="27"/>
      <c r="P76" s="27"/>
      <c r="Q76" s="27"/>
      <c r="R76" s="27"/>
      <c r="S76" s="27"/>
      <c r="T76" s="27"/>
      <c r="U76" s="27"/>
      <c r="V76" s="27"/>
    </row>
    <row r="77" spans="1:22" x14ac:dyDescent="0.25">
      <c r="A77" s="39" t="s">
        <v>111</v>
      </c>
      <c r="B77" s="36"/>
      <c r="C77" s="36"/>
      <c r="D77" s="36"/>
      <c r="E77" s="36"/>
      <c r="F77" s="36"/>
      <c r="G77" s="36"/>
      <c r="H77" s="36"/>
      <c r="I77" s="36"/>
      <c r="J77" s="36"/>
      <c r="K77" s="36"/>
      <c r="L77" s="36"/>
      <c r="M77" s="36"/>
      <c r="N77" s="36"/>
      <c r="O77" s="36"/>
      <c r="P77" s="36"/>
      <c r="Q77" s="36"/>
      <c r="R77" s="36"/>
      <c r="S77" s="36"/>
      <c r="T77" s="36"/>
      <c r="U77" s="36"/>
      <c r="V77" s="36"/>
    </row>
    <row r="78" spans="1:22" x14ac:dyDescent="0.25">
      <c r="A78" s="1" t="s">
        <v>103</v>
      </c>
      <c r="B78" s="33">
        <f>29527/222730</f>
        <v>0.13256858079288825</v>
      </c>
      <c r="C78" s="33">
        <f>27183/192052</f>
        <v>0.14153979130652114</v>
      </c>
      <c r="D78" s="33">
        <f>23204/163220</f>
        <v>0.14216395049626271</v>
      </c>
      <c r="E78" s="33">
        <f>19948/149351</f>
        <v>0.13356455597886857</v>
      </c>
      <c r="F78" s="33">
        <v>0.14000000000000001</v>
      </c>
      <c r="G78" s="33">
        <v>0.14000000000000001</v>
      </c>
      <c r="H78" s="33">
        <v>0.14000000000000001</v>
      </c>
      <c r="I78" s="33">
        <v>0.14000000000000001</v>
      </c>
      <c r="J78" s="33">
        <v>0.13</v>
      </c>
      <c r="K78" s="34">
        <v>0.13</v>
      </c>
      <c r="L78" s="33">
        <v>0.13</v>
      </c>
      <c r="M78" s="33">
        <v>0.12</v>
      </c>
      <c r="N78" s="33">
        <v>0.12</v>
      </c>
      <c r="O78" s="33">
        <v>0.12</v>
      </c>
      <c r="P78" s="33">
        <v>0.12</v>
      </c>
      <c r="Q78" s="33">
        <v>0.12</v>
      </c>
      <c r="R78" s="33">
        <v>0.11</v>
      </c>
      <c r="S78" s="33">
        <v>0.11</v>
      </c>
      <c r="T78" s="33">
        <v>0.11</v>
      </c>
      <c r="U78" s="88">
        <v>0.3</v>
      </c>
      <c r="V78" s="88">
        <v>0.3</v>
      </c>
    </row>
    <row r="79" spans="1:22" x14ac:dyDescent="0.25">
      <c r="A79" s="1" t="s">
        <v>101</v>
      </c>
      <c r="B79" s="88">
        <f>85629/222730</f>
        <v>0.38445202711803528</v>
      </c>
      <c r="C79" s="88">
        <f>77277/192052</f>
        <v>0.40237539832961905</v>
      </c>
      <c r="D79" s="88">
        <f>68659/163220</f>
        <v>0.42065310623698077</v>
      </c>
      <c r="E79" s="88">
        <f>59672/149351</f>
        <v>0.39954201846656534</v>
      </c>
      <c r="F79" s="88">
        <v>0.41</v>
      </c>
      <c r="G79" s="33">
        <v>0.21</v>
      </c>
      <c r="H79" s="33">
        <v>0.22</v>
      </c>
      <c r="I79" s="33">
        <v>0.22</v>
      </c>
      <c r="J79" s="33">
        <v>0.22</v>
      </c>
      <c r="K79" s="34">
        <v>0.21</v>
      </c>
      <c r="L79" s="33">
        <v>0.21</v>
      </c>
      <c r="M79" s="33">
        <v>0.21</v>
      </c>
      <c r="N79" s="33">
        <v>0.21</v>
      </c>
      <c r="O79" s="33">
        <v>0.21</v>
      </c>
      <c r="P79" s="33">
        <v>0.2</v>
      </c>
      <c r="Q79" s="33">
        <v>0.19</v>
      </c>
      <c r="R79" s="33">
        <v>0.19</v>
      </c>
      <c r="S79" s="33">
        <v>0.19</v>
      </c>
      <c r="T79" s="33">
        <v>0.2</v>
      </c>
      <c r="U79" s="88"/>
      <c r="V79" s="88"/>
    </row>
    <row r="80" spans="1:22" x14ac:dyDescent="0.25">
      <c r="A80" s="1" t="s">
        <v>102</v>
      </c>
      <c r="B80" s="88"/>
      <c r="C80" s="88"/>
      <c r="D80" s="88"/>
      <c r="E80" s="88"/>
      <c r="F80" s="88"/>
      <c r="G80" s="33">
        <v>0.2</v>
      </c>
      <c r="H80" s="33">
        <v>0.21</v>
      </c>
      <c r="I80" s="33">
        <v>0.21</v>
      </c>
      <c r="J80" s="33">
        <v>0.21</v>
      </c>
      <c r="K80" s="34">
        <v>0.22</v>
      </c>
      <c r="L80" s="33">
        <v>0.22</v>
      </c>
      <c r="M80" s="33">
        <v>0.22</v>
      </c>
      <c r="N80" s="33">
        <v>0.23</v>
      </c>
      <c r="O80" s="33">
        <v>0.23</v>
      </c>
      <c r="P80" s="33">
        <v>0.22</v>
      </c>
      <c r="Q80" s="33">
        <v>0.23</v>
      </c>
      <c r="R80" s="33">
        <v>0.24</v>
      </c>
      <c r="S80" s="33">
        <v>0.25</v>
      </c>
      <c r="T80" s="33">
        <v>0.25</v>
      </c>
      <c r="U80" s="33">
        <v>0.3</v>
      </c>
      <c r="V80" s="33">
        <v>0.31</v>
      </c>
    </row>
    <row r="81" spans="1:22" x14ac:dyDescent="0.25">
      <c r="A81" s="1" t="s">
        <v>104</v>
      </c>
      <c r="B81" s="88">
        <f>61100/222730</f>
        <v>0.2743231715530014</v>
      </c>
      <c r="C81" s="88">
        <f>55966/192052</f>
        <v>0.29141065961302148</v>
      </c>
      <c r="D81" s="33">
        <f>27729/163220</f>
        <v>0.169887268717069</v>
      </c>
      <c r="E81" s="33">
        <f>24570/149351</f>
        <v>0.16451178766797678</v>
      </c>
      <c r="F81" s="33">
        <v>0.16</v>
      </c>
      <c r="G81" s="33">
        <v>0.16</v>
      </c>
      <c r="H81" s="33">
        <v>0.16</v>
      </c>
      <c r="I81" s="33">
        <v>0.16</v>
      </c>
      <c r="J81" s="33">
        <v>0.16</v>
      </c>
      <c r="K81" s="34">
        <v>0.16</v>
      </c>
      <c r="L81" s="33">
        <v>0.16</v>
      </c>
      <c r="M81" s="33">
        <v>0.17</v>
      </c>
      <c r="N81" s="33">
        <v>0.18</v>
      </c>
      <c r="O81" s="33">
        <v>0.19</v>
      </c>
      <c r="P81" s="33">
        <v>0.19</v>
      </c>
      <c r="Q81" s="33">
        <v>0.21</v>
      </c>
      <c r="R81" s="33">
        <v>0.2</v>
      </c>
      <c r="S81" s="33">
        <v>0.2</v>
      </c>
      <c r="T81" s="33">
        <v>0.2</v>
      </c>
      <c r="U81" s="33">
        <v>0.16</v>
      </c>
      <c r="V81" s="33">
        <v>0.16</v>
      </c>
    </row>
    <row r="82" spans="1:22" x14ac:dyDescent="0.25">
      <c r="A82" s="1" t="s">
        <v>105</v>
      </c>
      <c r="B82" s="88"/>
      <c r="C82" s="88"/>
      <c r="D82" s="33">
        <f>17078/163220</f>
        <v>0.10463178532042641</v>
      </c>
      <c r="E82" s="33">
        <f>16590/149351</f>
        <v>0.11108060876726637</v>
      </c>
      <c r="F82" s="33">
        <v>0.11</v>
      </c>
      <c r="G82" s="33">
        <v>0.12</v>
      </c>
      <c r="H82" s="33">
        <v>0.12</v>
      </c>
      <c r="I82" s="33">
        <v>0.11</v>
      </c>
      <c r="J82" s="33">
        <v>0.11</v>
      </c>
      <c r="K82" s="34">
        <v>0.11</v>
      </c>
      <c r="L82" s="33">
        <v>0.1</v>
      </c>
      <c r="M82" s="33">
        <v>0.1</v>
      </c>
      <c r="N82" s="33">
        <v>0.1</v>
      </c>
      <c r="O82" s="33">
        <v>0.1</v>
      </c>
      <c r="P82" s="33">
        <v>0.1</v>
      </c>
      <c r="Q82" s="33">
        <v>0.11</v>
      </c>
      <c r="R82" s="33">
        <v>0.12</v>
      </c>
      <c r="S82" s="33">
        <v>0.12</v>
      </c>
      <c r="T82" s="33">
        <v>0.13</v>
      </c>
      <c r="U82" s="33">
        <v>0.14000000000000001</v>
      </c>
      <c r="V82" s="33">
        <v>0.14000000000000001</v>
      </c>
    </row>
    <row r="83" spans="1:22" x14ac:dyDescent="0.25">
      <c r="A83" s="1" t="s">
        <v>106</v>
      </c>
      <c r="B83" s="33">
        <f>46474/222730</f>
        <v>0.20865622053607508</v>
      </c>
      <c r="C83" s="33">
        <f>31626/192052</f>
        <v>0.16467415075083833</v>
      </c>
      <c r="D83" s="33">
        <f>26550/163220</f>
        <v>0.16266388922926112</v>
      </c>
      <c r="E83" s="33">
        <f>28571/149351</f>
        <v>0.19130102911932292</v>
      </c>
      <c r="F83" s="33">
        <v>0.18</v>
      </c>
      <c r="G83" s="33">
        <v>0.17</v>
      </c>
      <c r="H83" s="33">
        <v>0.15</v>
      </c>
      <c r="I83" s="33">
        <v>0.16</v>
      </c>
      <c r="J83" s="33">
        <v>0.17</v>
      </c>
      <c r="K83" s="34">
        <v>0.17</v>
      </c>
      <c r="L83" s="33">
        <v>0.18</v>
      </c>
      <c r="M83" s="33">
        <v>0.18</v>
      </c>
      <c r="N83" s="33">
        <v>0.16</v>
      </c>
      <c r="O83" s="33">
        <v>0.15</v>
      </c>
      <c r="P83" s="33">
        <v>0.17</v>
      </c>
      <c r="Q83" s="33">
        <v>0.14000000000000001</v>
      </c>
      <c r="R83" s="33">
        <v>0.14000000000000001</v>
      </c>
      <c r="S83" s="33">
        <v>0.13</v>
      </c>
      <c r="T83" s="33">
        <v>0.11</v>
      </c>
      <c r="U83" s="33">
        <v>0.1</v>
      </c>
      <c r="V83" s="33">
        <v>0.09</v>
      </c>
    </row>
    <row r="84" spans="1:22" ht="20" thickBot="1" x14ac:dyDescent="0.3">
      <c r="A84" s="6" t="s">
        <v>80</v>
      </c>
      <c r="B84" s="32">
        <f>SUM(B78:B83)</f>
        <v>1</v>
      </c>
      <c r="C84" s="32">
        <f t="shared" ref="C84:V84" si="20">SUM(C78:C83)</f>
        <v>1</v>
      </c>
      <c r="D84" s="32">
        <f t="shared" si="20"/>
        <v>1</v>
      </c>
      <c r="E84" s="32">
        <f t="shared" si="20"/>
        <v>1</v>
      </c>
      <c r="F84" s="32">
        <f t="shared" si="20"/>
        <v>1</v>
      </c>
      <c r="G84" s="32">
        <f t="shared" si="20"/>
        <v>1</v>
      </c>
      <c r="H84" s="32">
        <f t="shared" si="20"/>
        <v>1</v>
      </c>
      <c r="I84" s="32">
        <f t="shared" si="20"/>
        <v>1</v>
      </c>
      <c r="J84" s="32">
        <f t="shared" si="20"/>
        <v>1</v>
      </c>
      <c r="K84" s="32">
        <f t="shared" si="20"/>
        <v>1</v>
      </c>
      <c r="L84" s="32">
        <f t="shared" si="20"/>
        <v>1</v>
      </c>
      <c r="M84" s="32">
        <f t="shared" si="20"/>
        <v>1</v>
      </c>
      <c r="N84" s="32">
        <f t="shared" si="20"/>
        <v>1</v>
      </c>
      <c r="O84" s="32">
        <f t="shared" si="20"/>
        <v>1</v>
      </c>
      <c r="P84" s="32">
        <f t="shared" si="20"/>
        <v>1</v>
      </c>
      <c r="Q84" s="32">
        <f t="shared" si="20"/>
        <v>1</v>
      </c>
      <c r="R84" s="32">
        <f t="shared" si="20"/>
        <v>1</v>
      </c>
      <c r="S84" s="32">
        <f t="shared" si="20"/>
        <v>1</v>
      </c>
      <c r="T84" s="32">
        <f t="shared" si="20"/>
        <v>1</v>
      </c>
      <c r="U84" s="32">
        <f t="shared" si="20"/>
        <v>1</v>
      </c>
      <c r="V84" s="32">
        <f t="shared" si="20"/>
        <v>1</v>
      </c>
    </row>
    <row r="85" spans="1:22" ht="20" thickTop="1" x14ac:dyDescent="0.25">
      <c r="K85" s="28"/>
    </row>
    <row r="86" spans="1:22" x14ac:dyDescent="0.25">
      <c r="A86" s="39" t="s">
        <v>112</v>
      </c>
      <c r="B86" s="9"/>
      <c r="C86" s="9"/>
      <c r="D86" s="9"/>
      <c r="E86" s="9"/>
      <c r="F86" s="9"/>
      <c r="G86" s="9"/>
      <c r="H86" s="9"/>
      <c r="I86" s="9"/>
      <c r="J86" s="9"/>
      <c r="L86" s="9"/>
      <c r="M86" s="9"/>
      <c r="N86" s="9"/>
      <c r="O86" s="9"/>
      <c r="P86" s="9"/>
      <c r="Q86" s="9"/>
      <c r="R86" s="9"/>
      <c r="S86" s="9"/>
      <c r="T86" s="9"/>
      <c r="U86" s="9"/>
      <c r="V86" s="9"/>
    </row>
    <row r="87" spans="1:22" x14ac:dyDescent="0.25">
      <c r="A87" s="1" t="s">
        <v>75</v>
      </c>
      <c r="B87" s="9">
        <v>578</v>
      </c>
      <c r="C87" s="9">
        <v>564</v>
      </c>
      <c r="D87" s="9">
        <v>552</v>
      </c>
      <c r="E87" s="9">
        <v>543</v>
      </c>
      <c r="F87" s="9">
        <v>527</v>
      </c>
      <c r="G87" s="9">
        <v>514</v>
      </c>
      <c r="H87" s="9">
        <v>501</v>
      </c>
      <c r="I87" s="9">
        <v>480</v>
      </c>
      <c r="J87" s="9">
        <v>468</v>
      </c>
      <c r="K87" s="8">
        <v>451</v>
      </c>
      <c r="L87" s="9">
        <v>439</v>
      </c>
      <c r="M87" s="9">
        <v>429</v>
      </c>
      <c r="N87" s="9">
        <v>416</v>
      </c>
      <c r="O87" s="9">
        <v>406</v>
      </c>
      <c r="P87" s="9">
        <v>398</v>
      </c>
      <c r="Q87" s="9">
        <v>383</v>
      </c>
      <c r="R87" s="9">
        <v>358</v>
      </c>
      <c r="S87" s="9">
        <v>338</v>
      </c>
      <c r="T87" s="9">
        <v>327</v>
      </c>
      <c r="U87" s="9">
        <v>309</v>
      </c>
      <c r="V87" s="9">
        <v>290</v>
      </c>
    </row>
    <row r="88" spans="1:22" x14ac:dyDescent="0.25">
      <c r="A88" s="1" t="s">
        <v>79</v>
      </c>
      <c r="B88" s="9">
        <v>107</v>
      </c>
      <c r="C88" s="9">
        <v>105</v>
      </c>
      <c r="D88" s="9">
        <v>101</v>
      </c>
      <c r="E88" s="9">
        <v>100</v>
      </c>
      <c r="F88" s="9">
        <v>100</v>
      </c>
      <c r="G88" s="9">
        <v>97</v>
      </c>
      <c r="H88" s="9">
        <v>91</v>
      </c>
      <c r="I88" s="9">
        <v>89</v>
      </c>
      <c r="J88" s="9">
        <v>88</v>
      </c>
      <c r="K88" s="8">
        <v>85</v>
      </c>
      <c r="L88" s="9">
        <v>82</v>
      </c>
      <c r="M88" s="9">
        <v>82</v>
      </c>
      <c r="N88" s="9">
        <v>79</v>
      </c>
      <c r="O88" s="9">
        <v>77</v>
      </c>
      <c r="P88" s="9">
        <v>75</v>
      </c>
      <c r="Q88" s="9">
        <v>71</v>
      </c>
      <c r="R88" s="9">
        <v>68</v>
      </c>
      <c r="S88" s="9">
        <v>65</v>
      </c>
      <c r="T88" s="9">
        <v>63</v>
      </c>
      <c r="U88" s="9">
        <v>61</v>
      </c>
      <c r="V88" s="9">
        <v>60</v>
      </c>
    </row>
    <row r="89" spans="1:22" x14ac:dyDescent="0.25">
      <c r="A89" s="1" t="s">
        <v>81</v>
      </c>
      <c r="B89" s="9">
        <v>40</v>
      </c>
      <c r="C89" s="9">
        <v>39</v>
      </c>
      <c r="D89" s="9">
        <v>39</v>
      </c>
      <c r="E89" s="9">
        <v>39</v>
      </c>
      <c r="F89" s="9">
        <v>39</v>
      </c>
      <c r="G89" s="9">
        <v>37</v>
      </c>
      <c r="H89" s="9">
        <v>36</v>
      </c>
      <c r="I89" s="9">
        <v>36</v>
      </c>
      <c r="J89" s="9">
        <v>33</v>
      </c>
      <c r="K89" s="8">
        <v>33</v>
      </c>
      <c r="L89" s="9">
        <v>32</v>
      </c>
      <c r="M89" s="9">
        <v>32</v>
      </c>
      <c r="N89" s="91" t="s">
        <v>94</v>
      </c>
      <c r="O89" s="91"/>
      <c r="P89" s="91"/>
      <c r="Q89" s="91"/>
      <c r="R89" s="91"/>
      <c r="S89" s="91"/>
      <c r="T89" s="91"/>
      <c r="U89" s="91"/>
      <c r="V89" s="91"/>
    </row>
    <row r="90" spans="1:22" x14ac:dyDescent="0.25">
      <c r="A90" s="1" t="s">
        <v>82</v>
      </c>
      <c r="B90" s="9">
        <v>31</v>
      </c>
      <c r="C90" s="9">
        <v>30</v>
      </c>
      <c r="D90" s="9">
        <v>27</v>
      </c>
      <c r="E90" s="9">
        <v>26</v>
      </c>
      <c r="F90" s="9">
        <v>26</v>
      </c>
      <c r="G90" s="9">
        <v>26</v>
      </c>
      <c r="H90" s="9">
        <v>25</v>
      </c>
      <c r="I90" s="9">
        <v>23</v>
      </c>
      <c r="J90" s="9">
        <v>20</v>
      </c>
      <c r="K90" s="8">
        <v>18</v>
      </c>
      <c r="L90" s="9">
        <v>13</v>
      </c>
      <c r="M90" s="9">
        <v>9</v>
      </c>
      <c r="N90" s="9">
        <v>9</v>
      </c>
      <c r="O90" s="9">
        <v>9</v>
      </c>
      <c r="P90" s="9">
        <v>8</v>
      </c>
      <c r="Q90" s="9">
        <v>6</v>
      </c>
      <c r="R90" s="9">
        <v>5</v>
      </c>
      <c r="S90" s="9">
        <v>5</v>
      </c>
      <c r="T90" s="9">
        <v>4</v>
      </c>
      <c r="U90" s="9">
        <v>4</v>
      </c>
      <c r="V90" s="9">
        <v>2</v>
      </c>
    </row>
    <row r="91" spans="1:22" x14ac:dyDescent="0.25">
      <c r="A91" s="1" t="s">
        <v>83</v>
      </c>
      <c r="B91" s="9">
        <v>29</v>
      </c>
      <c r="C91" s="9">
        <v>29</v>
      </c>
      <c r="D91" s="9">
        <v>29</v>
      </c>
      <c r="E91" s="9">
        <v>29</v>
      </c>
      <c r="F91" s="9">
        <v>28</v>
      </c>
      <c r="G91" s="9">
        <v>28</v>
      </c>
      <c r="H91" s="9">
        <v>28</v>
      </c>
      <c r="I91" s="9">
        <v>27</v>
      </c>
      <c r="J91" s="9">
        <v>26</v>
      </c>
      <c r="K91" s="8">
        <v>25</v>
      </c>
      <c r="L91" s="9">
        <v>22</v>
      </c>
      <c r="M91" s="9">
        <v>22</v>
      </c>
      <c r="N91" s="9">
        <v>22</v>
      </c>
      <c r="O91" s="9">
        <v>21</v>
      </c>
      <c r="P91" s="9">
        <v>20</v>
      </c>
      <c r="Q91" s="9">
        <v>19</v>
      </c>
      <c r="R91" s="9">
        <v>18</v>
      </c>
      <c r="S91" s="9">
        <v>16</v>
      </c>
      <c r="T91" s="9">
        <v>15</v>
      </c>
      <c r="U91" s="9">
        <v>15</v>
      </c>
      <c r="V91" s="9">
        <v>14</v>
      </c>
    </row>
    <row r="92" spans="1:22" x14ac:dyDescent="0.25">
      <c r="A92" s="1" t="s">
        <v>84</v>
      </c>
      <c r="B92" s="9">
        <v>17</v>
      </c>
      <c r="C92" s="9">
        <v>16</v>
      </c>
      <c r="D92" s="9">
        <v>16</v>
      </c>
      <c r="E92" s="9">
        <v>16</v>
      </c>
      <c r="F92" s="9">
        <v>15</v>
      </c>
      <c r="G92" s="9">
        <v>13</v>
      </c>
      <c r="H92" s="9">
        <v>12</v>
      </c>
      <c r="I92" s="9">
        <v>12</v>
      </c>
      <c r="J92" s="9">
        <v>11</v>
      </c>
      <c r="K92" s="8">
        <v>9</v>
      </c>
      <c r="L92" s="9">
        <v>8</v>
      </c>
      <c r="M92" s="9">
        <v>7</v>
      </c>
      <c r="N92" s="9">
        <v>7</v>
      </c>
      <c r="O92" s="9">
        <v>7</v>
      </c>
      <c r="P92" s="9">
        <v>6</v>
      </c>
      <c r="Q92" s="9">
        <v>5</v>
      </c>
      <c r="R92" s="9">
        <v>5</v>
      </c>
      <c r="S92" s="9">
        <v>5</v>
      </c>
      <c r="T92" s="9">
        <v>5</v>
      </c>
      <c r="U92" s="9">
        <v>5</v>
      </c>
      <c r="V92" s="9">
        <v>5</v>
      </c>
    </row>
    <row r="93" spans="1:22" x14ac:dyDescent="0.25">
      <c r="A93" s="1" t="s">
        <v>85</v>
      </c>
      <c r="B93" s="9">
        <v>14</v>
      </c>
      <c r="C93" s="9">
        <v>14</v>
      </c>
      <c r="D93" s="9">
        <v>13</v>
      </c>
      <c r="E93" s="9">
        <v>13</v>
      </c>
      <c r="F93" s="9">
        <v>13</v>
      </c>
      <c r="G93" s="9">
        <v>13</v>
      </c>
      <c r="H93" s="9">
        <v>12</v>
      </c>
      <c r="I93" s="9">
        <v>11</v>
      </c>
      <c r="J93" s="9">
        <v>10</v>
      </c>
      <c r="K93" s="8">
        <v>10</v>
      </c>
      <c r="L93" s="9">
        <v>9</v>
      </c>
      <c r="M93" s="9">
        <v>8</v>
      </c>
      <c r="N93" s="9">
        <v>6</v>
      </c>
      <c r="O93" s="9">
        <v>6</v>
      </c>
      <c r="P93" s="9">
        <v>5</v>
      </c>
      <c r="Q93" s="9">
        <v>4</v>
      </c>
      <c r="R93" s="9">
        <v>4</v>
      </c>
      <c r="S93" s="9">
        <v>4</v>
      </c>
      <c r="T93" s="9">
        <v>3</v>
      </c>
      <c r="U93" s="9">
        <v>3</v>
      </c>
      <c r="V93" s="9">
        <v>3</v>
      </c>
    </row>
    <row r="94" spans="1:22" x14ac:dyDescent="0.25">
      <c r="A94" s="1" t="s">
        <v>86</v>
      </c>
      <c r="B94" s="9">
        <v>13</v>
      </c>
      <c r="C94" s="9">
        <v>12</v>
      </c>
      <c r="D94" s="9">
        <v>12</v>
      </c>
      <c r="E94" s="9">
        <v>11</v>
      </c>
      <c r="F94" s="9">
        <v>10</v>
      </c>
      <c r="G94" s="9">
        <v>9</v>
      </c>
      <c r="H94" s="9">
        <v>8</v>
      </c>
      <c r="I94" s="9">
        <v>7</v>
      </c>
      <c r="J94" s="9">
        <v>6</v>
      </c>
      <c r="K94" s="8">
        <v>3</v>
      </c>
      <c r="L94" s="9">
        <v>3</v>
      </c>
      <c r="M94" s="9">
        <v>3</v>
      </c>
      <c r="N94" s="9">
        <v>1</v>
      </c>
      <c r="O94" s="9">
        <v>1</v>
      </c>
      <c r="P94" s="9">
        <v>0</v>
      </c>
      <c r="Q94" s="9">
        <v>0</v>
      </c>
      <c r="R94" s="9">
        <v>0</v>
      </c>
      <c r="S94" s="9">
        <v>0</v>
      </c>
      <c r="T94" s="9">
        <v>0</v>
      </c>
      <c r="U94" s="9">
        <v>0</v>
      </c>
      <c r="V94" s="9">
        <v>0</v>
      </c>
    </row>
    <row r="95" spans="1:22" x14ac:dyDescent="0.25">
      <c r="A95" s="1" t="s">
        <v>87</v>
      </c>
      <c r="B95" s="9">
        <v>4</v>
      </c>
      <c r="C95" s="9">
        <v>3</v>
      </c>
      <c r="D95" s="9">
        <v>3</v>
      </c>
      <c r="E95" s="9">
        <v>2</v>
      </c>
      <c r="F95" s="9">
        <v>2</v>
      </c>
      <c r="G95" s="9">
        <v>2</v>
      </c>
      <c r="H95" s="9">
        <v>2</v>
      </c>
      <c r="I95" s="9">
        <v>1</v>
      </c>
      <c r="J95" s="9">
        <v>1</v>
      </c>
      <c r="K95" s="8">
        <v>0</v>
      </c>
      <c r="L95" s="9">
        <v>0</v>
      </c>
      <c r="M95" s="9">
        <v>0</v>
      </c>
      <c r="N95" s="9">
        <v>0</v>
      </c>
      <c r="O95" s="9">
        <v>0</v>
      </c>
      <c r="P95" s="9">
        <v>0</v>
      </c>
      <c r="Q95" s="9">
        <v>0</v>
      </c>
      <c r="R95" s="9">
        <v>0</v>
      </c>
      <c r="S95" s="9">
        <v>0</v>
      </c>
      <c r="T95" s="9">
        <v>0</v>
      </c>
      <c r="U95" s="9">
        <v>0</v>
      </c>
      <c r="V95" s="9">
        <v>0</v>
      </c>
    </row>
    <row r="96" spans="1:22" x14ac:dyDescent="0.25">
      <c r="A96" s="1" t="s">
        <v>88</v>
      </c>
      <c r="B96" s="9">
        <v>2</v>
      </c>
      <c r="C96" s="9">
        <v>1</v>
      </c>
      <c r="D96" s="9">
        <v>1</v>
      </c>
      <c r="E96" s="9">
        <v>1</v>
      </c>
      <c r="F96" s="9">
        <v>1</v>
      </c>
      <c r="G96" s="9">
        <v>1</v>
      </c>
      <c r="H96" s="9">
        <v>0</v>
      </c>
      <c r="I96" s="9">
        <v>0</v>
      </c>
      <c r="J96" s="9">
        <v>0</v>
      </c>
      <c r="K96" s="8">
        <v>0</v>
      </c>
      <c r="L96" s="9">
        <v>0</v>
      </c>
      <c r="M96" s="9">
        <v>0</v>
      </c>
      <c r="N96" s="9">
        <v>0</v>
      </c>
      <c r="O96" s="9">
        <v>0</v>
      </c>
      <c r="P96" s="9">
        <v>0</v>
      </c>
      <c r="Q96" s="9">
        <v>0</v>
      </c>
      <c r="R96" s="9">
        <v>0</v>
      </c>
      <c r="S96" s="9">
        <v>0</v>
      </c>
      <c r="T96" s="9">
        <v>0</v>
      </c>
      <c r="U96" s="9">
        <v>0</v>
      </c>
      <c r="V96" s="9">
        <v>0</v>
      </c>
    </row>
    <row r="97" spans="1:23" x14ac:dyDescent="0.25">
      <c r="A97" s="1" t="s">
        <v>89</v>
      </c>
      <c r="B97" s="9">
        <v>2</v>
      </c>
      <c r="C97" s="9">
        <v>1</v>
      </c>
      <c r="D97" s="9">
        <v>1</v>
      </c>
      <c r="E97" s="9">
        <v>1</v>
      </c>
      <c r="F97" s="9">
        <v>0</v>
      </c>
      <c r="G97" s="9">
        <v>0</v>
      </c>
      <c r="H97" s="9">
        <v>0</v>
      </c>
      <c r="I97" s="9">
        <v>0</v>
      </c>
      <c r="J97" s="9">
        <v>0</v>
      </c>
      <c r="K97" s="8">
        <v>0</v>
      </c>
      <c r="L97" s="9">
        <v>0</v>
      </c>
      <c r="M97" s="9">
        <v>0</v>
      </c>
      <c r="N97" s="9">
        <v>0</v>
      </c>
      <c r="O97" s="9">
        <v>0</v>
      </c>
      <c r="P97" s="9">
        <v>0</v>
      </c>
      <c r="Q97" s="9">
        <v>0</v>
      </c>
      <c r="R97" s="9">
        <v>0</v>
      </c>
      <c r="S97" s="9">
        <v>0</v>
      </c>
      <c r="T97" s="9">
        <v>0</v>
      </c>
      <c r="U97" s="9">
        <v>0</v>
      </c>
      <c r="V97" s="9">
        <v>0</v>
      </c>
    </row>
    <row r="98" spans="1:23" x14ac:dyDescent="0.25">
      <c r="A98" s="1" t="s">
        <v>90</v>
      </c>
      <c r="B98" s="9">
        <v>1</v>
      </c>
      <c r="C98" s="9">
        <v>1</v>
      </c>
      <c r="D98" s="9">
        <v>1</v>
      </c>
      <c r="E98" s="9">
        <v>1</v>
      </c>
      <c r="F98" s="9">
        <v>1</v>
      </c>
      <c r="G98" s="9">
        <v>1</v>
      </c>
      <c r="H98" s="9">
        <v>0</v>
      </c>
      <c r="I98" s="9">
        <v>0</v>
      </c>
      <c r="J98" s="9">
        <v>0</v>
      </c>
      <c r="K98" s="8">
        <v>0</v>
      </c>
      <c r="L98" s="9">
        <v>0</v>
      </c>
      <c r="M98" s="9">
        <v>0</v>
      </c>
      <c r="N98" s="9">
        <v>0</v>
      </c>
      <c r="O98" s="9">
        <v>0</v>
      </c>
      <c r="P98" s="9">
        <v>0</v>
      </c>
      <c r="Q98" s="9">
        <v>0</v>
      </c>
      <c r="R98" s="9">
        <v>0</v>
      </c>
      <c r="S98" s="9">
        <v>0</v>
      </c>
      <c r="T98" s="9">
        <v>0</v>
      </c>
      <c r="U98" s="9">
        <v>0</v>
      </c>
      <c r="V98" s="9">
        <v>0</v>
      </c>
    </row>
    <row r="99" spans="1:23" ht="20" thickBot="1" x14ac:dyDescent="0.3">
      <c r="A99" s="6" t="s">
        <v>80</v>
      </c>
      <c r="B99" s="10">
        <f t="shared" ref="B99:V99" si="21">SUM(B87:B98)</f>
        <v>838</v>
      </c>
      <c r="C99" s="10">
        <f t="shared" si="21"/>
        <v>815</v>
      </c>
      <c r="D99" s="10">
        <f t="shared" si="21"/>
        <v>795</v>
      </c>
      <c r="E99" s="10">
        <f t="shared" si="21"/>
        <v>782</v>
      </c>
      <c r="F99" s="10">
        <f t="shared" si="21"/>
        <v>762</v>
      </c>
      <c r="G99" s="10">
        <f t="shared" si="21"/>
        <v>741</v>
      </c>
      <c r="H99" s="10">
        <f t="shared" si="21"/>
        <v>715</v>
      </c>
      <c r="I99" s="10">
        <f t="shared" si="21"/>
        <v>686</v>
      </c>
      <c r="J99" s="10">
        <f t="shared" si="21"/>
        <v>663</v>
      </c>
      <c r="K99" s="10">
        <f t="shared" si="21"/>
        <v>634</v>
      </c>
      <c r="L99" s="10">
        <f t="shared" si="21"/>
        <v>608</v>
      </c>
      <c r="M99" s="10">
        <f t="shared" si="21"/>
        <v>592</v>
      </c>
      <c r="N99" s="10">
        <f t="shared" si="21"/>
        <v>540</v>
      </c>
      <c r="O99" s="10">
        <f t="shared" si="21"/>
        <v>527</v>
      </c>
      <c r="P99" s="10">
        <f t="shared" si="21"/>
        <v>512</v>
      </c>
      <c r="Q99" s="10">
        <f t="shared" si="21"/>
        <v>488</v>
      </c>
      <c r="R99" s="10">
        <f t="shared" si="21"/>
        <v>458</v>
      </c>
      <c r="S99" s="10">
        <f t="shared" si="21"/>
        <v>433</v>
      </c>
      <c r="T99" s="10">
        <f t="shared" si="21"/>
        <v>417</v>
      </c>
      <c r="U99" s="10">
        <f t="shared" si="21"/>
        <v>397</v>
      </c>
      <c r="V99" s="10">
        <f t="shared" si="21"/>
        <v>374</v>
      </c>
    </row>
    <row r="100" spans="1:23" ht="20" thickTop="1" x14ac:dyDescent="0.25">
      <c r="A100" s="22" t="s">
        <v>121</v>
      </c>
      <c r="B100" s="42">
        <f>(B99/C99)-1</f>
        <v>2.8220858895705581E-2</v>
      </c>
      <c r="C100" s="42">
        <f t="shared" ref="C100:U100" si="22">(C99/D99)-1</f>
        <v>2.515723270440251E-2</v>
      </c>
      <c r="D100" s="42">
        <f t="shared" si="22"/>
        <v>1.6624040920716121E-2</v>
      </c>
      <c r="E100" s="42">
        <f t="shared" si="22"/>
        <v>2.6246719160105014E-2</v>
      </c>
      <c r="F100" s="42">
        <f t="shared" si="22"/>
        <v>2.8340080971659853E-2</v>
      </c>
      <c r="G100" s="42">
        <f t="shared" si="22"/>
        <v>3.6363636363636376E-2</v>
      </c>
      <c r="H100" s="42">
        <f t="shared" si="22"/>
        <v>4.2274052478134205E-2</v>
      </c>
      <c r="I100" s="42">
        <f t="shared" si="22"/>
        <v>3.4690799396681848E-2</v>
      </c>
      <c r="J100" s="42">
        <f t="shared" si="22"/>
        <v>4.5741324921135584E-2</v>
      </c>
      <c r="K100" s="42">
        <f t="shared" si="22"/>
        <v>4.2763157894736947E-2</v>
      </c>
      <c r="L100" s="42">
        <f t="shared" si="22"/>
        <v>2.7027027027026973E-2</v>
      </c>
      <c r="M100" s="42">
        <f t="shared" si="22"/>
        <v>9.6296296296296324E-2</v>
      </c>
      <c r="N100" s="42">
        <f t="shared" si="22"/>
        <v>2.4667931688804545E-2</v>
      </c>
      <c r="O100" s="42">
        <f t="shared" si="22"/>
        <v>2.9296875E-2</v>
      </c>
      <c r="P100" s="42">
        <f t="shared" si="22"/>
        <v>4.9180327868852514E-2</v>
      </c>
      <c r="Q100" s="42">
        <f t="shared" si="22"/>
        <v>6.5502183406113579E-2</v>
      </c>
      <c r="R100" s="42">
        <f t="shared" si="22"/>
        <v>5.773672055427248E-2</v>
      </c>
      <c r="S100" s="42">
        <f t="shared" si="22"/>
        <v>3.83693045563549E-2</v>
      </c>
      <c r="T100" s="42">
        <f t="shared" si="22"/>
        <v>5.0377833753148638E-2</v>
      </c>
      <c r="U100" s="42">
        <f t="shared" si="22"/>
        <v>6.149732620320858E-2</v>
      </c>
      <c r="V100" s="41"/>
    </row>
    <row r="101" spans="1:23" x14ac:dyDescent="0.25">
      <c r="A101" s="22" t="s">
        <v>122</v>
      </c>
      <c r="B101" s="42">
        <f>(B99/L99)^(1/10)-1</f>
        <v>3.2604572763759609E-2</v>
      </c>
      <c r="C101" s="42">
        <f t="shared" ref="C101:L101" si="23">(C99/M99)^(1/10)-1</f>
        <v>3.2484617911652247E-2</v>
      </c>
      <c r="D101" s="42">
        <f t="shared" si="23"/>
        <v>3.9435001259053637E-2</v>
      </c>
      <c r="E101" s="42">
        <f t="shared" si="23"/>
        <v>4.0254525429683996E-2</v>
      </c>
      <c r="F101" s="42">
        <f>(F99/P99)^(1/10)-1</f>
        <v>4.0563291599669427E-2</v>
      </c>
      <c r="G101" s="42">
        <f t="shared" si="23"/>
        <v>4.2653099502592884E-2</v>
      </c>
      <c r="H101" s="42">
        <f t="shared" si="23"/>
        <v>4.5548194448907564E-2</v>
      </c>
      <c r="I101" s="42">
        <f t="shared" si="23"/>
        <v>4.7089059601450822E-2</v>
      </c>
      <c r="J101" s="42">
        <f t="shared" si="23"/>
        <v>4.7460723702072771E-2</v>
      </c>
      <c r="K101" s="42">
        <f t="shared" si="23"/>
        <v>4.7924212927446197E-2</v>
      </c>
      <c r="L101" s="42">
        <f t="shared" si="23"/>
        <v>4.9791852133951764E-2</v>
      </c>
      <c r="M101" s="42"/>
      <c r="N101" s="42"/>
      <c r="O101" s="42"/>
      <c r="P101" s="42"/>
      <c r="Q101" s="42"/>
      <c r="R101" s="42"/>
      <c r="S101" s="42"/>
      <c r="T101" s="42"/>
      <c r="U101" s="42"/>
      <c r="V101" s="41"/>
    </row>
    <row r="102" spans="1:23" x14ac:dyDescent="0.25">
      <c r="B102" s="9"/>
      <c r="C102" s="9"/>
      <c r="D102" s="9"/>
      <c r="E102" s="9"/>
      <c r="F102" s="9"/>
      <c r="G102" s="9"/>
      <c r="H102" s="9"/>
      <c r="I102" s="9"/>
      <c r="J102" s="9"/>
      <c r="L102" s="9"/>
      <c r="M102" s="9"/>
      <c r="N102" s="9"/>
      <c r="O102" s="9"/>
      <c r="P102" s="9"/>
      <c r="Q102" s="9"/>
      <c r="R102" s="9"/>
      <c r="S102" s="9"/>
      <c r="T102" s="9"/>
      <c r="U102" s="9"/>
      <c r="V102" s="9"/>
    </row>
    <row r="103" spans="1:23" x14ac:dyDescent="0.25">
      <c r="A103" s="39" t="s">
        <v>113</v>
      </c>
      <c r="B103" s="18"/>
      <c r="C103" s="18"/>
      <c r="D103" s="18"/>
      <c r="E103" s="18"/>
      <c r="F103" s="18"/>
      <c r="G103" s="18"/>
      <c r="H103" s="18"/>
      <c r="I103" s="18"/>
      <c r="J103" s="18"/>
      <c r="K103" s="19"/>
      <c r="L103" s="18"/>
      <c r="M103" s="18"/>
      <c r="N103" s="18"/>
      <c r="O103" s="18"/>
      <c r="P103" s="18"/>
      <c r="Q103" s="18"/>
      <c r="R103" s="18"/>
      <c r="S103" s="18"/>
      <c r="T103" s="18"/>
      <c r="U103" s="18"/>
      <c r="V103" s="18"/>
      <c r="W103" s="29"/>
    </row>
    <row r="104" spans="1:23" x14ac:dyDescent="0.25">
      <c r="A104" s="1" t="s">
        <v>78</v>
      </c>
      <c r="B104" s="18">
        <v>85.4</v>
      </c>
      <c r="C104" s="18">
        <v>83.2</v>
      </c>
      <c r="D104" s="18">
        <v>81.400000000000006</v>
      </c>
      <c r="E104" s="18">
        <v>79.900000000000006</v>
      </c>
      <c r="F104" s="18">
        <v>77.5</v>
      </c>
      <c r="G104" s="18">
        <v>75.400000000000006</v>
      </c>
      <c r="H104" s="18">
        <v>73.3</v>
      </c>
      <c r="I104" s="18">
        <v>69.900000000000006</v>
      </c>
      <c r="J104" s="18">
        <v>68.099999999999994</v>
      </c>
      <c r="K104" s="19">
        <v>65.5</v>
      </c>
      <c r="L104" s="18">
        <v>63.7</v>
      </c>
      <c r="M104" s="18">
        <v>62.1</v>
      </c>
      <c r="N104" s="18">
        <v>60.2</v>
      </c>
      <c r="O104" s="18">
        <v>58.6</v>
      </c>
      <c r="P104" s="18">
        <v>57.2</v>
      </c>
      <c r="Q104" s="18">
        <v>54.4</v>
      </c>
      <c r="R104" s="18">
        <v>50.7</v>
      </c>
      <c r="S104" s="18">
        <v>46.4</v>
      </c>
      <c r="T104" s="92" t="s">
        <v>95</v>
      </c>
      <c r="U104" s="92"/>
      <c r="V104" s="92"/>
      <c r="W104" s="29"/>
    </row>
    <row r="105" spans="1:23" x14ac:dyDescent="0.25">
      <c r="A105" s="1" t="s">
        <v>79</v>
      </c>
      <c r="B105" s="18">
        <v>15.2</v>
      </c>
      <c r="C105" s="18">
        <v>14.9</v>
      </c>
      <c r="D105" s="18">
        <v>14.3</v>
      </c>
      <c r="E105" s="18">
        <v>14</v>
      </c>
      <c r="F105" s="18">
        <v>13.9</v>
      </c>
      <c r="G105" s="18">
        <v>13.5</v>
      </c>
      <c r="H105" s="18">
        <v>12.6</v>
      </c>
      <c r="I105" s="18">
        <v>12.3</v>
      </c>
      <c r="J105" s="18">
        <v>12.1</v>
      </c>
      <c r="K105" s="19">
        <v>11.7</v>
      </c>
      <c r="L105" s="18">
        <v>11.2</v>
      </c>
      <c r="M105" s="18">
        <v>11.2</v>
      </c>
      <c r="N105" s="18">
        <v>10.8</v>
      </c>
      <c r="O105" s="18">
        <v>10.5</v>
      </c>
      <c r="P105" s="18">
        <v>10.199999999999999</v>
      </c>
      <c r="Q105" s="18">
        <v>9.6</v>
      </c>
      <c r="R105" s="18">
        <v>9.1</v>
      </c>
      <c r="S105" s="18">
        <v>8.4</v>
      </c>
      <c r="T105" s="92"/>
      <c r="U105" s="92"/>
      <c r="V105" s="92"/>
      <c r="W105" s="29"/>
    </row>
    <row r="106" spans="1:23" x14ac:dyDescent="0.25">
      <c r="A106" s="1" t="s">
        <v>77</v>
      </c>
      <c r="B106" s="18">
        <v>21.9</v>
      </c>
      <c r="C106" s="18">
        <v>20.8</v>
      </c>
      <c r="D106" s="18">
        <v>20.399999999999999</v>
      </c>
      <c r="E106" s="18">
        <v>20</v>
      </c>
      <c r="F106" s="18">
        <v>19.3</v>
      </c>
      <c r="G106" s="18">
        <v>18.399999999999999</v>
      </c>
      <c r="H106" s="18">
        <v>17.3</v>
      </c>
      <c r="I106" s="18">
        <v>16.5</v>
      </c>
      <c r="J106" s="18">
        <v>15.1</v>
      </c>
      <c r="K106" s="19">
        <v>13.6</v>
      </c>
      <c r="L106" s="18">
        <v>12</v>
      </c>
      <c r="M106" s="18">
        <v>11.1</v>
      </c>
      <c r="N106" s="18">
        <v>6.3</v>
      </c>
      <c r="O106" s="18">
        <v>6.1</v>
      </c>
      <c r="P106" s="18">
        <v>5.3</v>
      </c>
      <c r="Q106" s="18">
        <v>4.5999999999999996</v>
      </c>
      <c r="R106" s="18">
        <v>4.4000000000000004</v>
      </c>
      <c r="S106" s="18">
        <v>4.2</v>
      </c>
      <c r="T106" s="92"/>
      <c r="U106" s="92"/>
      <c r="V106" s="92"/>
      <c r="W106" s="29"/>
    </row>
    <row r="107" spans="1:23" ht="20" thickBot="1" x14ac:dyDescent="0.3">
      <c r="A107" s="6" t="s">
        <v>80</v>
      </c>
      <c r="B107" s="20">
        <f>SUM(B104:B106)</f>
        <v>122.5</v>
      </c>
      <c r="C107" s="20">
        <f t="shared" ref="C107:S107" si="24">SUM(C104:C106)</f>
        <v>118.9</v>
      </c>
      <c r="D107" s="20">
        <f t="shared" si="24"/>
        <v>116.1</v>
      </c>
      <c r="E107" s="20">
        <f t="shared" si="24"/>
        <v>113.9</v>
      </c>
      <c r="F107" s="20">
        <f t="shared" si="24"/>
        <v>110.7</v>
      </c>
      <c r="G107" s="20">
        <f t="shared" si="24"/>
        <v>107.30000000000001</v>
      </c>
      <c r="H107" s="20">
        <f t="shared" si="24"/>
        <v>103.19999999999999</v>
      </c>
      <c r="I107" s="20">
        <f t="shared" si="24"/>
        <v>98.7</v>
      </c>
      <c r="J107" s="20">
        <f t="shared" si="24"/>
        <v>95.299999999999983</v>
      </c>
      <c r="K107" s="20">
        <f t="shared" si="24"/>
        <v>90.8</v>
      </c>
      <c r="L107" s="20">
        <f t="shared" si="24"/>
        <v>86.9</v>
      </c>
      <c r="M107" s="20">
        <f t="shared" si="24"/>
        <v>84.399999999999991</v>
      </c>
      <c r="N107" s="20">
        <f t="shared" si="24"/>
        <v>77.3</v>
      </c>
      <c r="O107" s="20">
        <f t="shared" si="24"/>
        <v>75.199999999999989</v>
      </c>
      <c r="P107" s="20">
        <f t="shared" si="24"/>
        <v>72.7</v>
      </c>
      <c r="Q107" s="20">
        <f t="shared" si="24"/>
        <v>68.599999999999994</v>
      </c>
      <c r="R107" s="20">
        <f t="shared" si="24"/>
        <v>64.2</v>
      </c>
      <c r="S107" s="20">
        <f t="shared" si="24"/>
        <v>59</v>
      </c>
      <c r="T107" s="92"/>
      <c r="U107" s="92"/>
      <c r="V107" s="92"/>
    </row>
    <row r="108" spans="1:23" ht="20" thickTop="1" x14ac:dyDescent="0.25">
      <c r="A108" s="22" t="s">
        <v>123</v>
      </c>
      <c r="B108" s="42">
        <f>(B107/C107)-1</f>
        <v>3.0277544154751812E-2</v>
      </c>
      <c r="C108" s="42">
        <f t="shared" ref="C108:R108" si="25">(C107/D107)-1</f>
        <v>2.4117140396210157E-2</v>
      </c>
      <c r="D108" s="42">
        <f t="shared" si="25"/>
        <v>1.9315188762071944E-2</v>
      </c>
      <c r="E108" s="42">
        <f t="shared" si="25"/>
        <v>2.8906955736224038E-2</v>
      </c>
      <c r="F108" s="42">
        <f t="shared" si="25"/>
        <v>3.1686859273066137E-2</v>
      </c>
      <c r="G108" s="42">
        <f t="shared" si="25"/>
        <v>3.9728682170542928E-2</v>
      </c>
      <c r="H108" s="42">
        <f t="shared" si="25"/>
        <v>4.5592705167173175E-2</v>
      </c>
      <c r="I108" s="42">
        <f t="shared" si="25"/>
        <v>3.5676810073452581E-2</v>
      </c>
      <c r="J108" s="42">
        <f t="shared" si="25"/>
        <v>4.9559471365638652E-2</v>
      </c>
      <c r="K108" s="42">
        <f t="shared" si="25"/>
        <v>4.4879171461449818E-2</v>
      </c>
      <c r="L108" s="42">
        <f t="shared" si="25"/>
        <v>2.9620853080568832E-2</v>
      </c>
      <c r="M108" s="42">
        <f t="shared" si="25"/>
        <v>9.1849935316946851E-2</v>
      </c>
      <c r="N108" s="42">
        <f t="shared" si="25"/>
        <v>2.7925531914893664E-2</v>
      </c>
      <c r="O108" s="42">
        <f t="shared" si="25"/>
        <v>3.4387895460797679E-2</v>
      </c>
      <c r="P108" s="42">
        <f t="shared" si="25"/>
        <v>5.976676384839652E-2</v>
      </c>
      <c r="Q108" s="42">
        <f t="shared" si="25"/>
        <v>6.8535825545171125E-2</v>
      </c>
      <c r="R108" s="42">
        <f t="shared" si="25"/>
        <v>8.8135593220338926E-2</v>
      </c>
      <c r="S108" s="43"/>
      <c r="T108" s="31"/>
      <c r="U108" s="31"/>
      <c r="V108" s="31"/>
    </row>
    <row r="109" spans="1:23" x14ac:dyDescent="0.25">
      <c r="A109" s="22" t="s">
        <v>124</v>
      </c>
      <c r="B109" s="42">
        <f>(B107/L107)^(1/10)-1</f>
        <v>3.4931560873761702E-2</v>
      </c>
      <c r="C109" s="42">
        <f t="shared" ref="C109:H109" si="26">(C107/M107)^(1/10)-1</f>
        <v>3.4865576194483605E-2</v>
      </c>
      <c r="D109" s="42">
        <f t="shared" si="26"/>
        <v>4.1514384872570531E-2</v>
      </c>
      <c r="E109" s="42">
        <f t="shared" si="26"/>
        <v>4.2390844767381086E-2</v>
      </c>
      <c r="F109" s="42">
        <f t="shared" si="26"/>
        <v>4.2944794948356346E-2</v>
      </c>
      <c r="G109" s="42">
        <f t="shared" si="26"/>
        <v>4.5749247217458322E-2</v>
      </c>
      <c r="H109" s="42">
        <f t="shared" si="26"/>
        <v>4.8611139419659333E-2</v>
      </c>
      <c r="I109" s="42">
        <f>(I107/S107)^(1/10)-1</f>
        <v>5.280154621107469E-2</v>
      </c>
      <c r="J109" s="42"/>
      <c r="K109" s="42"/>
      <c r="L109" s="42"/>
      <c r="M109" s="43"/>
      <c r="N109" s="43"/>
      <c r="O109" s="43"/>
      <c r="P109" s="43"/>
      <c r="Q109" s="43"/>
      <c r="R109" s="43"/>
      <c r="S109" s="43"/>
      <c r="T109" s="31"/>
      <c r="U109" s="31"/>
      <c r="V109" s="31"/>
    </row>
    <row r="110" spans="1:23" x14ac:dyDescent="0.25">
      <c r="B110" s="9"/>
      <c r="C110" s="9"/>
      <c r="D110" s="9"/>
      <c r="E110" s="9"/>
      <c r="F110" s="9"/>
      <c r="G110" s="9"/>
      <c r="H110" s="9"/>
      <c r="I110" s="9"/>
      <c r="J110" s="9"/>
      <c r="L110" s="9"/>
      <c r="M110" s="9"/>
      <c r="N110" s="9"/>
      <c r="O110" s="9"/>
      <c r="P110" s="9"/>
      <c r="Q110" s="9"/>
      <c r="R110" s="9"/>
      <c r="S110" s="9"/>
      <c r="T110" s="9"/>
      <c r="U110" s="9"/>
      <c r="V110" s="9"/>
    </row>
    <row r="111" spans="1:23" x14ac:dyDescent="0.25">
      <c r="A111" s="39" t="s">
        <v>114</v>
      </c>
      <c r="B111" s="9"/>
      <c r="C111" s="9"/>
      <c r="D111" s="9"/>
      <c r="E111" s="9"/>
      <c r="F111" s="9"/>
      <c r="G111" s="9"/>
      <c r="H111" s="9"/>
      <c r="I111" s="9"/>
      <c r="J111" s="9"/>
      <c r="L111" s="9"/>
      <c r="M111" s="9"/>
      <c r="N111" s="9"/>
      <c r="O111" s="9"/>
      <c r="P111" s="9"/>
      <c r="Q111" s="9"/>
      <c r="R111" s="9"/>
      <c r="S111" s="9"/>
      <c r="T111" s="9"/>
      <c r="U111" s="9"/>
      <c r="V111" s="9"/>
    </row>
    <row r="112" spans="1:23" x14ac:dyDescent="0.25">
      <c r="A112" s="1" t="s">
        <v>78</v>
      </c>
      <c r="B112" s="9">
        <f>(B104*1000000)/B87</f>
        <v>147750.86505190312</v>
      </c>
      <c r="C112" s="9">
        <f t="shared" ref="C112:S112" si="27">(C104*1000000)/C87</f>
        <v>147517.73049645391</v>
      </c>
      <c r="D112" s="9">
        <f t="shared" si="27"/>
        <v>147463.76811594202</v>
      </c>
      <c r="E112" s="9">
        <f t="shared" si="27"/>
        <v>147145.48802946592</v>
      </c>
      <c r="F112" s="9">
        <f t="shared" si="27"/>
        <v>147058.82352941178</v>
      </c>
      <c r="G112" s="9">
        <f t="shared" si="27"/>
        <v>146692.60700389105</v>
      </c>
      <c r="H112" s="9">
        <f t="shared" si="27"/>
        <v>146307.38522954093</v>
      </c>
      <c r="I112" s="9">
        <f t="shared" si="27"/>
        <v>145625</v>
      </c>
      <c r="J112" s="9">
        <f t="shared" si="27"/>
        <v>145512.8205128205</v>
      </c>
      <c r="K112" s="9">
        <f t="shared" si="27"/>
        <v>145232.8159645233</v>
      </c>
      <c r="L112" s="9">
        <f t="shared" si="27"/>
        <v>145102.50569476082</v>
      </c>
      <c r="M112" s="9">
        <f t="shared" si="27"/>
        <v>144755.24475524476</v>
      </c>
      <c r="N112" s="9">
        <f t="shared" si="27"/>
        <v>144711.53846153847</v>
      </c>
      <c r="O112" s="9">
        <f t="shared" si="27"/>
        <v>144334.97536945812</v>
      </c>
      <c r="P112" s="9">
        <f t="shared" si="27"/>
        <v>143718.59296482411</v>
      </c>
      <c r="Q112" s="9">
        <f t="shared" si="27"/>
        <v>142036.55352480419</v>
      </c>
      <c r="R112" s="9">
        <f t="shared" si="27"/>
        <v>141620.11173184359</v>
      </c>
      <c r="S112" s="9">
        <f t="shared" si="27"/>
        <v>137278.10650887573</v>
      </c>
      <c r="T112" s="9"/>
      <c r="U112" s="9"/>
      <c r="V112" s="9"/>
    </row>
    <row r="113" spans="1:22" x14ac:dyDescent="0.25">
      <c r="A113" s="1" t="s">
        <v>76</v>
      </c>
      <c r="B113" s="9">
        <f>(B105*1000000)/B88</f>
        <v>142056.07476635513</v>
      </c>
      <c r="C113" s="9">
        <f t="shared" ref="C113:S113" si="28">(C105*1000000)/C88</f>
        <v>141904.76190476189</v>
      </c>
      <c r="D113" s="9">
        <f t="shared" si="28"/>
        <v>141584.15841584158</v>
      </c>
      <c r="E113" s="9">
        <f t="shared" si="28"/>
        <v>140000</v>
      </c>
      <c r="F113" s="9">
        <f t="shared" si="28"/>
        <v>139000</v>
      </c>
      <c r="G113" s="9">
        <f t="shared" si="28"/>
        <v>139175.25773195876</v>
      </c>
      <c r="H113" s="9">
        <f t="shared" si="28"/>
        <v>138461.53846153847</v>
      </c>
      <c r="I113" s="9">
        <f t="shared" si="28"/>
        <v>138202.24719101124</v>
      </c>
      <c r="J113" s="9">
        <f t="shared" si="28"/>
        <v>137500</v>
      </c>
      <c r="K113" s="9">
        <f t="shared" si="28"/>
        <v>137647.0588235294</v>
      </c>
      <c r="L113" s="9">
        <f t="shared" si="28"/>
        <v>136585.36585365853</v>
      </c>
      <c r="M113" s="9">
        <f t="shared" si="28"/>
        <v>136585.36585365853</v>
      </c>
      <c r="N113" s="9">
        <f t="shared" si="28"/>
        <v>136708.86075949366</v>
      </c>
      <c r="O113" s="9">
        <f t="shared" si="28"/>
        <v>136363.63636363635</v>
      </c>
      <c r="P113" s="9">
        <f t="shared" si="28"/>
        <v>136000</v>
      </c>
      <c r="Q113" s="9">
        <f t="shared" si="28"/>
        <v>135211.2676056338</v>
      </c>
      <c r="R113" s="9">
        <f t="shared" si="28"/>
        <v>133823.5294117647</v>
      </c>
      <c r="S113" s="9">
        <f t="shared" si="28"/>
        <v>129230.76923076923</v>
      </c>
      <c r="T113" s="9"/>
      <c r="U113" s="9"/>
      <c r="V113" s="9"/>
    </row>
    <row r="114" spans="1:22" x14ac:dyDescent="0.25">
      <c r="A114" s="1" t="s">
        <v>96</v>
      </c>
      <c r="B114" s="9">
        <f>(B106*1000000)/SUM(B89:B98)</f>
        <v>143137.25490196078</v>
      </c>
      <c r="C114" s="9">
        <f t="shared" ref="C114:S114" si="29">(C106*1000000)/SUM(C89:C98)</f>
        <v>142465.75342465754</v>
      </c>
      <c r="D114" s="9">
        <f t="shared" si="29"/>
        <v>143661.97183098592</v>
      </c>
      <c r="E114" s="9">
        <f t="shared" si="29"/>
        <v>143884.89208633095</v>
      </c>
      <c r="F114" s="9">
        <f t="shared" si="29"/>
        <v>142962.96296296295</v>
      </c>
      <c r="G114" s="9">
        <f t="shared" si="29"/>
        <v>141538.46153846153</v>
      </c>
      <c r="H114" s="9">
        <f t="shared" si="29"/>
        <v>140650.40650406503</v>
      </c>
      <c r="I114" s="9">
        <f t="shared" si="29"/>
        <v>141025.64102564103</v>
      </c>
      <c r="J114" s="9">
        <f t="shared" si="29"/>
        <v>141121.49532710281</v>
      </c>
      <c r="K114" s="9">
        <f t="shared" si="29"/>
        <v>138775.51020408163</v>
      </c>
      <c r="L114" s="9">
        <f t="shared" si="29"/>
        <v>137931.03448275861</v>
      </c>
      <c r="M114" s="9">
        <f t="shared" si="29"/>
        <v>137037.03703703705</v>
      </c>
      <c r="N114" s="9">
        <f t="shared" si="29"/>
        <v>140000</v>
      </c>
      <c r="O114" s="9">
        <f t="shared" si="29"/>
        <v>138636.36363636365</v>
      </c>
      <c r="P114" s="9">
        <f t="shared" si="29"/>
        <v>135897.43589743591</v>
      </c>
      <c r="Q114" s="9">
        <f t="shared" si="29"/>
        <v>135294.11764705883</v>
      </c>
      <c r="R114" s="9">
        <f t="shared" si="29"/>
        <v>137500</v>
      </c>
      <c r="S114" s="9">
        <f t="shared" si="29"/>
        <v>140000</v>
      </c>
      <c r="T114" s="9"/>
      <c r="U114" s="9"/>
      <c r="V114" s="9"/>
    </row>
    <row r="115" spans="1:22" x14ac:dyDescent="0.25">
      <c r="A115" s="6" t="s">
        <v>97</v>
      </c>
      <c r="B115" s="7">
        <f>B107*1000000/B99</f>
        <v>146181.38424821003</v>
      </c>
      <c r="C115" s="7">
        <f t="shared" ref="C115:S115" si="30">C107*1000000/C99</f>
        <v>145889.57055214723</v>
      </c>
      <c r="D115" s="7">
        <f t="shared" si="30"/>
        <v>146037.7358490566</v>
      </c>
      <c r="E115" s="7">
        <f t="shared" si="30"/>
        <v>145652.17391304349</v>
      </c>
      <c r="F115" s="7">
        <f t="shared" si="30"/>
        <v>145275.59055118111</v>
      </c>
      <c r="G115" s="7">
        <f t="shared" si="30"/>
        <v>144804.31848852904</v>
      </c>
      <c r="H115" s="7">
        <f t="shared" si="30"/>
        <v>144335.6643356643</v>
      </c>
      <c r="I115" s="7">
        <f t="shared" si="30"/>
        <v>143877.55102040817</v>
      </c>
      <c r="J115" s="7">
        <f t="shared" si="30"/>
        <v>143740.57315233783</v>
      </c>
      <c r="K115" s="7">
        <f t="shared" si="30"/>
        <v>143217.66561514194</v>
      </c>
      <c r="L115" s="7">
        <f t="shared" si="30"/>
        <v>142927.63157894736</v>
      </c>
      <c r="M115" s="7">
        <f t="shared" si="30"/>
        <v>142567.56756756754</v>
      </c>
      <c r="N115" s="7">
        <f t="shared" si="30"/>
        <v>143148.14814814815</v>
      </c>
      <c r="O115" s="7">
        <f t="shared" si="30"/>
        <v>142694.49715370015</v>
      </c>
      <c r="P115" s="7">
        <f t="shared" si="30"/>
        <v>141992.1875</v>
      </c>
      <c r="Q115" s="7">
        <f t="shared" si="30"/>
        <v>140573.77049180327</v>
      </c>
      <c r="R115" s="7">
        <f t="shared" si="30"/>
        <v>140174.67248908296</v>
      </c>
      <c r="S115" s="7">
        <f t="shared" si="30"/>
        <v>136258.66050808315</v>
      </c>
      <c r="T115" s="9"/>
      <c r="U115" s="9"/>
      <c r="V115" s="9"/>
    </row>
    <row r="116" spans="1:22" x14ac:dyDescent="0.25">
      <c r="B116" s="9"/>
      <c r="C116" s="9"/>
      <c r="D116" s="9"/>
      <c r="E116" s="9"/>
      <c r="F116" s="9"/>
      <c r="G116" s="9"/>
      <c r="H116" s="9"/>
      <c r="I116" s="9"/>
      <c r="J116" s="9"/>
      <c r="L116" s="9"/>
      <c r="M116" s="9"/>
      <c r="N116" s="9"/>
      <c r="O116" s="9"/>
      <c r="P116" s="9"/>
      <c r="Q116" s="9"/>
      <c r="R116" s="9"/>
      <c r="S116" s="9"/>
      <c r="T116" s="9"/>
      <c r="U116" s="9"/>
      <c r="V116" s="9"/>
    </row>
    <row r="117" spans="1:22" x14ac:dyDescent="0.25">
      <c r="A117" s="39" t="s">
        <v>117</v>
      </c>
      <c r="B117" s="9"/>
      <c r="C117" s="9"/>
      <c r="D117" s="9"/>
      <c r="E117" s="9"/>
      <c r="F117" s="9"/>
      <c r="G117" s="9"/>
      <c r="H117" s="9"/>
      <c r="I117" s="9"/>
      <c r="J117" s="9"/>
      <c r="L117" s="9"/>
      <c r="M117" s="9"/>
      <c r="N117" s="9"/>
      <c r="O117" s="9"/>
      <c r="P117" s="9"/>
      <c r="Q117" s="9"/>
      <c r="R117" s="9"/>
      <c r="S117" s="9"/>
      <c r="T117" s="9"/>
      <c r="U117" s="9"/>
      <c r="V117" s="9"/>
    </row>
    <row r="118" spans="1:22" x14ac:dyDescent="0.25">
      <c r="A118" s="1" t="s">
        <v>78</v>
      </c>
      <c r="B118" s="9">
        <f>B42/(AVERAGE(B87,C87))</f>
        <v>289.48161120840632</v>
      </c>
      <c r="C118" s="9">
        <f t="shared" ref="C118:U118" si="31">C42/(AVERAGE(C87,D87))</f>
        <v>253.40143369175627</v>
      </c>
      <c r="D118" s="9">
        <f t="shared" si="31"/>
        <v>223.0904109589041</v>
      </c>
      <c r="E118" s="9">
        <f t="shared" si="31"/>
        <v>208.8803738317757</v>
      </c>
      <c r="F118" s="9">
        <f t="shared" si="31"/>
        <v>196.51488952929876</v>
      </c>
      <c r="G118" s="9">
        <f t="shared" si="31"/>
        <v>185.00295566502464</v>
      </c>
      <c r="H118" s="9">
        <f t="shared" si="31"/>
        <v>176.51172273190622</v>
      </c>
      <c r="I118" s="9">
        <f t="shared" si="31"/>
        <v>177.95569620253164</v>
      </c>
      <c r="J118" s="9">
        <f t="shared" si="31"/>
        <v>175.14036996735581</v>
      </c>
      <c r="K118" s="9">
        <f t="shared" si="31"/>
        <v>169.64719101123595</v>
      </c>
      <c r="L118" s="9">
        <f t="shared" si="31"/>
        <v>165.38248847926266</v>
      </c>
      <c r="M118" s="9">
        <f t="shared" si="31"/>
        <v>153.6189349112426</v>
      </c>
      <c r="N118" s="9">
        <f t="shared" si="31"/>
        <v>145.0705596107056</v>
      </c>
      <c r="O118" s="9">
        <f t="shared" si="31"/>
        <v>140.66666666666666</v>
      </c>
      <c r="P118" s="9">
        <f t="shared" si="31"/>
        <v>145.71867349551857</v>
      </c>
      <c r="Q118" s="9">
        <f t="shared" si="31"/>
        <v>139.08819973009446</v>
      </c>
      <c r="R118" s="9">
        <f t="shared" si="31"/>
        <v>139.26987931034483</v>
      </c>
      <c r="S118" s="9">
        <f t="shared" si="31"/>
        <v>129.51714887218046</v>
      </c>
      <c r="T118" s="9">
        <f t="shared" si="31"/>
        <v>123.99492452830188</v>
      </c>
      <c r="U118" s="9">
        <f t="shared" si="31"/>
        <v>117.25889482470784</v>
      </c>
      <c r="V118" s="9"/>
    </row>
    <row r="119" spans="1:22" x14ac:dyDescent="0.25">
      <c r="A119" s="1" t="s">
        <v>79</v>
      </c>
      <c r="B119" s="9">
        <f>B43/AVERAGE(B88,C88)</f>
        <v>298.82075471698113</v>
      </c>
      <c r="C119" s="9">
        <f t="shared" ref="C119:U119" si="32">C43/AVERAGE(C88,D88)</f>
        <v>265.02912621359224</v>
      </c>
      <c r="D119" s="9">
        <f t="shared" si="32"/>
        <v>223.22388059701493</v>
      </c>
      <c r="E119" s="9">
        <f t="shared" si="32"/>
        <v>213.66</v>
      </c>
      <c r="F119" s="9">
        <f t="shared" si="32"/>
        <v>210.04060913705584</v>
      </c>
      <c r="G119" s="9">
        <f t="shared" si="32"/>
        <v>199.7340425531915</v>
      </c>
      <c r="H119" s="9">
        <f t="shared" si="32"/>
        <v>189.2</v>
      </c>
      <c r="I119" s="9">
        <f t="shared" si="32"/>
        <v>195.94350282485877</v>
      </c>
      <c r="J119" s="9">
        <f t="shared" si="32"/>
        <v>207.4335260115607</v>
      </c>
      <c r="K119" s="9">
        <f t="shared" si="32"/>
        <v>205.73652694610777</v>
      </c>
      <c r="L119" s="9">
        <f t="shared" si="32"/>
        <v>191.67073170731706</v>
      </c>
      <c r="M119" s="9">
        <f t="shared" si="32"/>
        <v>174.1614906832298</v>
      </c>
      <c r="N119" s="9">
        <f t="shared" si="32"/>
        <v>154.5</v>
      </c>
      <c r="O119" s="9">
        <f t="shared" si="32"/>
        <v>128.11842105263159</v>
      </c>
      <c r="P119" s="9">
        <f t="shared" si="32"/>
        <v>144.21612328767122</v>
      </c>
      <c r="Q119" s="9">
        <f t="shared" si="32"/>
        <v>125.51887769784173</v>
      </c>
      <c r="R119" s="9">
        <f t="shared" si="32"/>
        <v>122.13124812030075</v>
      </c>
      <c r="S119" s="9">
        <f t="shared" si="32"/>
        <v>105.19228124999999</v>
      </c>
      <c r="T119" s="9">
        <f t="shared" si="32"/>
        <v>97.46701612903226</v>
      </c>
      <c r="U119" s="9">
        <f t="shared" si="32"/>
        <v>86.562363636363642</v>
      </c>
      <c r="V119" s="9"/>
    </row>
    <row r="120" spans="1:22" x14ac:dyDescent="0.25">
      <c r="A120" s="1" t="s">
        <v>77</v>
      </c>
      <c r="B120" s="9">
        <f>B44/AVERAGE(SUM(B89:B98),SUM(C89:C98))</f>
        <v>200.5685618729097</v>
      </c>
      <c r="C120" s="9">
        <f t="shared" ref="C120:U120" si="33">C44/AVERAGE(SUM(C89:C98),SUM(D89:D98))</f>
        <v>189.11805555555554</v>
      </c>
      <c r="D120" s="9">
        <f t="shared" si="33"/>
        <v>157.90035587188612</v>
      </c>
      <c r="E120" s="9">
        <f t="shared" si="33"/>
        <v>142.96350364963504</v>
      </c>
      <c r="F120" s="9">
        <f t="shared" si="33"/>
        <v>140.38490566037737</v>
      </c>
      <c r="G120" s="9">
        <f t="shared" si="33"/>
        <v>129.33596837944663</v>
      </c>
      <c r="H120" s="9">
        <f t="shared" si="33"/>
        <v>125.93333333333334</v>
      </c>
      <c r="I120" s="9">
        <f t="shared" si="33"/>
        <v>129.52678571428572</v>
      </c>
      <c r="J120" s="9">
        <f t="shared" si="33"/>
        <v>138.73170731707316</v>
      </c>
      <c r="K120" s="9">
        <f t="shared" si="33"/>
        <v>134.96216216216217</v>
      </c>
      <c r="L120" s="9">
        <f t="shared" si="33"/>
        <v>138.61904761904762</v>
      </c>
      <c r="M120" s="9">
        <f t="shared" si="33"/>
        <v>158.5873015873016</v>
      </c>
      <c r="N120" s="9">
        <f t="shared" si="33"/>
        <v>140.92134831460675</v>
      </c>
      <c r="O120" s="9">
        <f t="shared" si="33"/>
        <v>123.78313253012048</v>
      </c>
      <c r="P120" s="9">
        <f t="shared" si="33"/>
        <v>138.41372602739725</v>
      </c>
      <c r="Q120" s="9">
        <f t="shared" si="33"/>
        <v>125.58833333333334</v>
      </c>
      <c r="R120" s="9">
        <f t="shared" si="33"/>
        <v>114.95422580645162</v>
      </c>
      <c r="S120" s="9">
        <f t="shared" si="33"/>
        <v>110.71821052631579</v>
      </c>
      <c r="T120" s="9">
        <f t="shared" si="33"/>
        <v>97.650592592592588</v>
      </c>
      <c r="U120" s="9">
        <f t="shared" si="33"/>
        <v>85.862352941176468</v>
      </c>
      <c r="V120" s="9"/>
    </row>
    <row r="121" spans="1:22" x14ac:dyDescent="0.25">
      <c r="A121" s="6" t="s">
        <v>276</v>
      </c>
      <c r="B121" s="7">
        <f>B45/AVERAGE(B99,C99)</f>
        <v>274.59649122807019</v>
      </c>
      <c r="C121" s="7">
        <f t="shared" ref="C121:U121" si="34">C45/AVERAGE(C99,D99)</f>
        <v>243.39006211180123</v>
      </c>
      <c r="D121" s="7">
        <f t="shared" si="34"/>
        <v>211.49143944197843</v>
      </c>
      <c r="E121" s="7">
        <f t="shared" si="34"/>
        <v>197.80181347150258</v>
      </c>
      <c r="F121" s="7">
        <f t="shared" si="34"/>
        <v>188.39121756487026</v>
      </c>
      <c r="G121" s="7">
        <f t="shared" si="34"/>
        <v>177.23214285714286</v>
      </c>
      <c r="H121" s="7">
        <f t="shared" si="34"/>
        <v>169.47751605995717</v>
      </c>
      <c r="I121" s="7">
        <f t="shared" si="34"/>
        <v>172.27427724240178</v>
      </c>
      <c r="J121" s="7">
        <f t="shared" si="34"/>
        <v>173.69313801079414</v>
      </c>
      <c r="K121" s="7">
        <f t="shared" si="34"/>
        <v>169.33333333333334</v>
      </c>
      <c r="L121" s="7">
        <f t="shared" si="34"/>
        <v>165.22833333333332</v>
      </c>
      <c r="M121" s="7">
        <f t="shared" si="34"/>
        <v>157.09363957597174</v>
      </c>
      <c r="N121" s="7">
        <f t="shared" si="34"/>
        <v>146.10309278350516</v>
      </c>
      <c r="O121" s="7">
        <f t="shared" si="34"/>
        <v>137.48219441770934</v>
      </c>
      <c r="P121" s="7">
        <f t="shared" si="34"/>
        <v>144.96603999999999</v>
      </c>
      <c r="Q121" s="7">
        <f t="shared" si="34"/>
        <v>136.15254756871036</v>
      </c>
      <c r="R121" s="7">
        <f t="shared" si="34"/>
        <v>135.01958922558921</v>
      </c>
      <c r="S121" s="7">
        <f t="shared" si="34"/>
        <v>124.59347529411762</v>
      </c>
      <c r="T121" s="7">
        <f t="shared" si="34"/>
        <v>118.20615970515971</v>
      </c>
      <c r="U121" s="7">
        <f t="shared" si="34"/>
        <v>110.36459662775616</v>
      </c>
      <c r="V121" s="7"/>
    </row>
    <row r="122" spans="1:22" x14ac:dyDescent="0.25">
      <c r="A122" s="22" t="s">
        <v>273</v>
      </c>
      <c r="B122" s="9"/>
      <c r="C122" s="9"/>
      <c r="D122" s="9"/>
      <c r="E122" s="9"/>
      <c r="F122" s="9"/>
      <c r="G122" s="9"/>
      <c r="H122" s="9"/>
      <c r="I122" s="9"/>
      <c r="J122" s="9"/>
      <c r="L122" s="9"/>
      <c r="M122" s="9"/>
      <c r="N122" s="9"/>
      <c r="O122" s="9"/>
      <c r="P122" s="9"/>
      <c r="Q122" s="9"/>
      <c r="R122" s="9"/>
      <c r="S122" s="9"/>
      <c r="T122" s="9"/>
      <c r="U122" s="9"/>
      <c r="V122" s="9"/>
    </row>
    <row r="123" spans="1:22" x14ac:dyDescent="0.25">
      <c r="A123" s="22" t="s">
        <v>274</v>
      </c>
      <c r="B123" s="9"/>
      <c r="C123" s="9"/>
      <c r="D123" s="9"/>
      <c r="E123" s="9"/>
      <c r="F123" s="9"/>
      <c r="G123" s="9"/>
      <c r="H123" s="9"/>
      <c r="I123" s="9"/>
      <c r="J123" s="9"/>
      <c r="L123" s="9"/>
      <c r="M123" s="9"/>
      <c r="N123" s="9"/>
      <c r="O123" s="9"/>
      <c r="P123" s="9"/>
      <c r="Q123" s="9"/>
      <c r="R123" s="9"/>
      <c r="S123" s="9"/>
      <c r="T123" s="9"/>
      <c r="U123" s="9"/>
      <c r="V123" s="9"/>
    </row>
    <row r="124" spans="1:22" x14ac:dyDescent="0.25">
      <c r="A124" s="1" t="s">
        <v>275</v>
      </c>
      <c r="B124" s="9"/>
      <c r="C124" s="9"/>
      <c r="D124" s="9"/>
      <c r="E124" s="9"/>
      <c r="F124" s="9"/>
      <c r="G124" s="9"/>
      <c r="H124" s="9"/>
      <c r="I124" s="9"/>
      <c r="J124" s="9"/>
      <c r="L124" s="9"/>
      <c r="M124" s="9"/>
      <c r="N124" s="9"/>
      <c r="O124" s="9"/>
      <c r="P124" s="9"/>
      <c r="Q124" s="9"/>
      <c r="R124" s="9"/>
      <c r="S124" s="9"/>
      <c r="T124" s="9"/>
      <c r="U124" s="9"/>
      <c r="V124" s="9"/>
    </row>
    <row r="125" spans="1:22" x14ac:dyDescent="0.25">
      <c r="A125" s="39" t="s">
        <v>116</v>
      </c>
      <c r="B125" s="9"/>
      <c r="C125" s="9"/>
      <c r="D125" s="9"/>
      <c r="E125" s="9"/>
      <c r="F125" s="9"/>
      <c r="G125" s="9"/>
      <c r="H125" s="9"/>
      <c r="I125" s="9"/>
      <c r="J125" s="9"/>
      <c r="L125" s="9"/>
      <c r="M125" s="9"/>
      <c r="N125" s="9"/>
      <c r="O125" s="9"/>
      <c r="P125" s="9"/>
      <c r="Q125" s="9"/>
      <c r="R125" s="9"/>
      <c r="S125" s="9"/>
      <c r="T125" s="9"/>
      <c r="U125" s="9"/>
      <c r="V125" s="9"/>
    </row>
    <row r="126" spans="1:22" x14ac:dyDescent="0.25">
      <c r="A126" s="1" t="s">
        <v>78</v>
      </c>
      <c r="B126" s="9">
        <f>B42/AVERAGE(B104,C104)</f>
        <v>1960.782918149466</v>
      </c>
      <c r="C126" s="9">
        <f t="shared" ref="C126:R126" si="35">C42/AVERAGE(C104,D104)</f>
        <v>1718.0801944106925</v>
      </c>
      <c r="D126" s="9">
        <f t="shared" si="35"/>
        <v>1514.4699318040916</v>
      </c>
      <c r="E126" s="9">
        <f t="shared" si="35"/>
        <v>1419.9618805590851</v>
      </c>
      <c r="F126" s="9">
        <f t="shared" si="35"/>
        <v>1337.946370176586</v>
      </c>
      <c r="G126" s="9">
        <f t="shared" si="35"/>
        <v>1262.7975790181574</v>
      </c>
      <c r="H126" s="9">
        <f t="shared" si="35"/>
        <v>1209.2039106145253</v>
      </c>
      <c r="I126" s="9">
        <f t="shared" si="35"/>
        <v>1222.4782608695652</v>
      </c>
      <c r="J126" s="9">
        <f t="shared" si="35"/>
        <v>1204.745508982036</v>
      </c>
      <c r="K126" s="9">
        <f t="shared" si="35"/>
        <v>1168.622291021672</v>
      </c>
      <c r="L126" s="9">
        <f t="shared" si="35"/>
        <v>1141.1128775834657</v>
      </c>
      <c r="M126" s="9">
        <f t="shared" si="35"/>
        <v>1061.3900245298446</v>
      </c>
      <c r="N126" s="9">
        <f t="shared" si="35"/>
        <v>1003.7710437710437</v>
      </c>
      <c r="O126" s="9">
        <f t="shared" si="35"/>
        <v>976.64939550949907</v>
      </c>
      <c r="P126" s="9">
        <f t="shared" si="35"/>
        <v>1019.7695698924732</v>
      </c>
      <c r="Q126" s="9">
        <f t="shared" si="35"/>
        <v>980.63136060894396</v>
      </c>
      <c r="R126" s="9">
        <f t="shared" si="35"/>
        <v>998.26813594232749</v>
      </c>
      <c r="S126" s="9"/>
      <c r="T126" s="9"/>
      <c r="U126" s="9"/>
      <c r="V126" s="9"/>
    </row>
    <row r="127" spans="1:22" x14ac:dyDescent="0.25">
      <c r="A127" s="1" t="s">
        <v>79</v>
      </c>
      <c r="B127" s="9">
        <f t="shared" ref="B127:R127" si="36">B43/AVERAGE(B105,C105)</f>
        <v>2104.6511627906975</v>
      </c>
      <c r="C127" s="9">
        <f t="shared" si="36"/>
        <v>1869.7260273972602</v>
      </c>
      <c r="D127" s="9">
        <f t="shared" si="36"/>
        <v>1585.4416961130742</v>
      </c>
      <c r="E127" s="9">
        <f t="shared" si="36"/>
        <v>1531.6129032258066</v>
      </c>
      <c r="F127" s="9">
        <f t="shared" si="36"/>
        <v>1510.1459854014599</v>
      </c>
      <c r="G127" s="9">
        <f t="shared" si="36"/>
        <v>1438.6973180076627</v>
      </c>
      <c r="H127" s="9">
        <f t="shared" si="36"/>
        <v>1367.7108433734941</v>
      </c>
      <c r="I127" s="9">
        <f t="shared" si="36"/>
        <v>1421.3934426229509</v>
      </c>
      <c r="J127" s="9">
        <f t="shared" si="36"/>
        <v>1507.8151260504203</v>
      </c>
      <c r="K127" s="9">
        <f t="shared" si="36"/>
        <v>1500.3493449781661</v>
      </c>
      <c r="L127" s="9">
        <f t="shared" si="36"/>
        <v>1403.3035714285716</v>
      </c>
      <c r="M127" s="9">
        <f t="shared" si="36"/>
        <v>1274.5454545454545</v>
      </c>
      <c r="N127" s="9">
        <f t="shared" si="36"/>
        <v>1131.5492957746478</v>
      </c>
      <c r="O127" s="9">
        <f t="shared" si="36"/>
        <v>940.77294685990341</v>
      </c>
      <c r="P127" s="9">
        <f t="shared" si="36"/>
        <v>1063.4118181818183</v>
      </c>
      <c r="Q127" s="9">
        <f t="shared" si="36"/>
        <v>933.00128342245989</v>
      </c>
      <c r="R127" s="9">
        <f t="shared" si="36"/>
        <v>928.19748571428568</v>
      </c>
      <c r="S127" s="9"/>
      <c r="T127" s="9"/>
      <c r="U127" s="9"/>
      <c r="V127" s="9"/>
    </row>
    <row r="128" spans="1:22" x14ac:dyDescent="0.25">
      <c r="A128" s="1" t="s">
        <v>77</v>
      </c>
      <c r="B128" s="9">
        <f t="shared" ref="B128:R128" si="37">B44/AVERAGE(B106,C106)</f>
        <v>1404.4496487119436</v>
      </c>
      <c r="C128" s="9">
        <f t="shared" si="37"/>
        <v>1321.9902912621358</v>
      </c>
      <c r="D128" s="9">
        <f t="shared" si="37"/>
        <v>1098.2673267326734</v>
      </c>
      <c r="E128" s="9">
        <f t="shared" si="37"/>
        <v>996.7430025445293</v>
      </c>
      <c r="F128" s="9">
        <f t="shared" si="37"/>
        <v>986.79045092838192</v>
      </c>
      <c r="G128" s="9">
        <f t="shared" si="37"/>
        <v>916.58263305322123</v>
      </c>
      <c r="H128" s="9">
        <f t="shared" si="37"/>
        <v>894.2011834319527</v>
      </c>
      <c r="I128" s="9">
        <f t="shared" si="37"/>
        <v>918.16455696202524</v>
      </c>
      <c r="J128" s="9">
        <f t="shared" si="37"/>
        <v>990.94076655052265</v>
      </c>
      <c r="K128" s="9">
        <f t="shared" si="37"/>
        <v>975.3125</v>
      </c>
      <c r="L128" s="9">
        <f t="shared" si="37"/>
        <v>1008.138528138528</v>
      </c>
      <c r="M128" s="9">
        <f t="shared" si="37"/>
        <v>1148.3908045977012</v>
      </c>
      <c r="N128" s="9">
        <f t="shared" si="37"/>
        <v>1011.451612903226</v>
      </c>
      <c r="O128" s="9">
        <f t="shared" si="37"/>
        <v>901.22807017543869</v>
      </c>
      <c r="P128" s="9">
        <f t="shared" si="37"/>
        <v>1020.6264646464647</v>
      </c>
      <c r="Q128" s="9">
        <f t="shared" si="37"/>
        <v>920.98111111111109</v>
      </c>
      <c r="R128" s="9">
        <f t="shared" si="37"/>
        <v>828.73976744186041</v>
      </c>
      <c r="S128" s="9"/>
      <c r="T128" s="9"/>
      <c r="U128" s="9"/>
      <c r="V128" s="9"/>
    </row>
    <row r="129" spans="1:22" x14ac:dyDescent="0.25">
      <c r="A129" s="6" t="s">
        <v>276</v>
      </c>
      <c r="B129" s="7">
        <f t="shared" ref="B129:R129" si="38">B45/AVERAGE(B107,C107)</f>
        <v>1880.3148301574151</v>
      </c>
      <c r="C129" s="7">
        <f t="shared" si="38"/>
        <v>1667.4808510638297</v>
      </c>
      <c r="D129" s="7">
        <f t="shared" si="38"/>
        <v>1450.0956521739131</v>
      </c>
      <c r="E129" s="7">
        <f t="shared" si="38"/>
        <v>1359.7773820124664</v>
      </c>
      <c r="F129" s="7">
        <f t="shared" si="38"/>
        <v>1298.8623853211009</v>
      </c>
      <c r="G129" s="7">
        <f t="shared" si="38"/>
        <v>1225.8907363420428</v>
      </c>
      <c r="H129" s="7">
        <f t="shared" si="38"/>
        <v>1176.0178306092125</v>
      </c>
      <c r="I129" s="7">
        <f t="shared" si="38"/>
        <v>1197.9278350515465</v>
      </c>
      <c r="J129" s="7">
        <f t="shared" si="38"/>
        <v>1210.5319720580335</v>
      </c>
      <c r="K129" s="7">
        <f t="shared" si="38"/>
        <v>1183.5227912211594</v>
      </c>
      <c r="L129" s="7">
        <f t="shared" si="38"/>
        <v>1157.4664331582019</v>
      </c>
      <c r="M129" s="7">
        <f t="shared" si="38"/>
        <v>1099.752628324057</v>
      </c>
      <c r="N129" s="7">
        <f t="shared" si="38"/>
        <v>1022.2426229508196</v>
      </c>
      <c r="O129" s="7">
        <f t="shared" si="38"/>
        <v>965.81473968897922</v>
      </c>
      <c r="P129" s="7">
        <f t="shared" si="38"/>
        <v>1025.9450813871194</v>
      </c>
      <c r="Q129" s="7">
        <f t="shared" si="38"/>
        <v>969.88185240963844</v>
      </c>
      <c r="R129" s="7">
        <f t="shared" si="38"/>
        <v>976.48095779220773</v>
      </c>
      <c r="S129" s="7"/>
      <c r="T129" s="7"/>
      <c r="U129" s="7"/>
      <c r="V129" s="7"/>
    </row>
    <row r="130" spans="1:22" x14ac:dyDescent="0.25">
      <c r="A130" s="22" t="s">
        <v>115</v>
      </c>
      <c r="B130" s="9"/>
      <c r="C130" s="9"/>
      <c r="D130" s="9"/>
      <c r="E130" s="9"/>
      <c r="F130" s="9"/>
      <c r="G130" s="9"/>
      <c r="H130" s="9"/>
      <c r="I130" s="9"/>
      <c r="J130" s="9"/>
      <c r="L130" s="9"/>
      <c r="M130" s="9"/>
      <c r="N130" s="9"/>
      <c r="O130" s="9"/>
      <c r="P130" s="9"/>
      <c r="Q130" s="9"/>
      <c r="R130" s="9"/>
      <c r="S130" s="9"/>
      <c r="T130" s="9"/>
      <c r="U130" s="9"/>
      <c r="V130" s="9"/>
    </row>
    <row r="131" spans="1:22" x14ac:dyDescent="0.25">
      <c r="A131" s="22" t="s">
        <v>125</v>
      </c>
      <c r="B131" s="9"/>
      <c r="C131" s="9"/>
      <c r="D131" s="9"/>
      <c r="E131" s="9"/>
      <c r="F131" s="9"/>
      <c r="G131" s="9"/>
      <c r="H131" s="9"/>
      <c r="I131" s="9"/>
      <c r="J131" s="9"/>
      <c r="L131" s="9"/>
      <c r="M131" s="9"/>
      <c r="N131" s="9"/>
      <c r="O131" s="9"/>
      <c r="P131" s="9"/>
      <c r="Q131" s="9"/>
      <c r="R131" s="9"/>
      <c r="S131" s="9"/>
      <c r="T131" s="9"/>
      <c r="U131" s="9"/>
      <c r="V131" s="9"/>
    </row>
    <row r="132" spans="1:22" x14ac:dyDescent="0.25">
      <c r="B132" s="9"/>
      <c r="C132" s="9"/>
      <c r="D132" s="9"/>
      <c r="E132" s="9"/>
      <c r="F132" s="9"/>
      <c r="G132" s="9"/>
      <c r="H132" s="9"/>
      <c r="I132" s="9"/>
      <c r="J132" s="9"/>
      <c r="L132" s="9"/>
      <c r="M132" s="9"/>
      <c r="N132" s="9"/>
      <c r="O132" s="9"/>
      <c r="P132" s="9"/>
      <c r="Q132" s="9"/>
      <c r="R132" s="9"/>
      <c r="S132" s="9"/>
      <c r="T132" s="9"/>
      <c r="U132" s="9"/>
      <c r="V132" s="9"/>
    </row>
    <row r="133" spans="1:22" x14ac:dyDescent="0.25">
      <c r="A133" s="39" t="s">
        <v>118</v>
      </c>
      <c r="B133" s="9"/>
      <c r="C133" s="9"/>
      <c r="D133" s="9"/>
      <c r="E133" s="9"/>
      <c r="F133" s="9"/>
      <c r="G133" s="9"/>
      <c r="H133" s="9"/>
      <c r="I133" s="9"/>
      <c r="J133" s="9"/>
      <c r="L133" s="9"/>
      <c r="M133" s="9"/>
      <c r="N133" s="9"/>
      <c r="O133" s="9"/>
      <c r="P133" s="9"/>
      <c r="Q133" s="9"/>
      <c r="R133" s="9"/>
      <c r="S133" s="9"/>
      <c r="T133" s="9"/>
      <c r="U133" s="9"/>
      <c r="V133" s="9"/>
    </row>
    <row r="134" spans="1:22" x14ac:dyDescent="0.25">
      <c r="A134" s="1" t="s">
        <v>78</v>
      </c>
      <c r="B134" s="18">
        <f t="shared" ref="B134:U134" si="39">B48/AVERAGE(B87:C87)</f>
        <v>9.225919439579684</v>
      </c>
      <c r="C134" s="18">
        <f t="shared" si="39"/>
        <v>7.6379928315412187</v>
      </c>
      <c r="D134" s="18">
        <f t="shared" si="39"/>
        <v>6.6356164383561644</v>
      </c>
      <c r="E134" s="18">
        <f t="shared" si="39"/>
        <v>5.7252336448598129</v>
      </c>
      <c r="F134" s="18">
        <f t="shared" si="39"/>
        <v>5.3544668587896256</v>
      </c>
      <c r="G134" s="18">
        <f t="shared" si="39"/>
        <v>5.2098522167487689</v>
      </c>
      <c r="H134" s="18">
        <f t="shared" si="39"/>
        <v>4.7420998980632012</v>
      </c>
      <c r="I134" s="18">
        <f t="shared" si="39"/>
        <v>4.8691983122362865</v>
      </c>
      <c r="J134" s="18">
        <f t="shared" si="39"/>
        <v>4.0914036996735579</v>
      </c>
      <c r="K134" s="18">
        <f t="shared" si="39"/>
        <v>4.0674157303370784</v>
      </c>
      <c r="L134" s="18">
        <f t="shared" si="39"/>
        <v>3.7603686635944702</v>
      </c>
      <c r="M134" s="18">
        <f t="shared" si="39"/>
        <v>3.3017751479289941</v>
      </c>
      <c r="N134" s="18">
        <f t="shared" si="39"/>
        <v>3.1873479318734792</v>
      </c>
      <c r="O134" s="18">
        <f t="shared" si="39"/>
        <v>3.1666666666666665</v>
      </c>
      <c r="P134" s="18">
        <f t="shared" si="39"/>
        <v>3.568120358514725</v>
      </c>
      <c r="Q134" s="18">
        <f t="shared" si="39"/>
        <v>3.2834466936572202</v>
      </c>
      <c r="R134" s="18">
        <f t="shared" si="39"/>
        <v>3.5799856321839081</v>
      </c>
      <c r="S134" s="18">
        <f t="shared" si="39"/>
        <v>3.5119879699248124</v>
      </c>
      <c r="T134" s="18">
        <f t="shared" si="39"/>
        <v>3.525540880503145</v>
      </c>
      <c r="U134" s="18">
        <f t="shared" si="39"/>
        <v>3.0971285475792989</v>
      </c>
      <c r="V134" s="18"/>
    </row>
    <row r="135" spans="1:22" x14ac:dyDescent="0.25">
      <c r="A135" s="1" t="s">
        <v>79</v>
      </c>
      <c r="B135" s="18">
        <f t="shared" ref="B135:U135" si="40">B49/AVERAGE(B88:C88)</f>
        <v>12.69811320754717</v>
      </c>
      <c r="C135" s="18">
        <f t="shared" si="40"/>
        <v>11.41747572815534</v>
      </c>
      <c r="D135" s="18">
        <f t="shared" si="40"/>
        <v>8.5572139303482579</v>
      </c>
      <c r="E135" s="18">
        <f t="shared" si="40"/>
        <v>9.24</v>
      </c>
      <c r="F135" s="18">
        <f t="shared" si="40"/>
        <v>9.5329949238578688</v>
      </c>
      <c r="G135" s="18">
        <f t="shared" si="40"/>
        <v>8.9468085106382986</v>
      </c>
      <c r="H135" s="18">
        <f t="shared" si="40"/>
        <v>8.6444444444444439</v>
      </c>
      <c r="I135" s="18">
        <f t="shared" si="40"/>
        <v>8.7118644067796609</v>
      </c>
      <c r="J135" s="18">
        <f t="shared" si="40"/>
        <v>9.202312138728324</v>
      </c>
      <c r="K135" s="18">
        <f t="shared" si="40"/>
        <v>9.0538922155688617</v>
      </c>
      <c r="L135" s="18">
        <f t="shared" si="40"/>
        <v>8.1463414634146343</v>
      </c>
      <c r="M135" s="18">
        <f t="shared" si="40"/>
        <v>7.7142857142857144</v>
      </c>
      <c r="N135" s="18">
        <f t="shared" si="40"/>
        <v>7.0128205128205128</v>
      </c>
      <c r="O135" s="18">
        <f t="shared" si="40"/>
        <v>4.6578947368421053</v>
      </c>
      <c r="P135" s="18">
        <f t="shared" si="40"/>
        <v>5.7501232876712329</v>
      </c>
      <c r="Q135" s="18">
        <f t="shared" si="40"/>
        <v>4.1301438848920862</v>
      </c>
      <c r="R135" s="18">
        <f t="shared" si="40"/>
        <v>4.3986766917293236</v>
      </c>
      <c r="S135" s="18">
        <f t="shared" si="40"/>
        <v>3.7734843749999998</v>
      </c>
      <c r="T135" s="18">
        <f t="shared" si="40"/>
        <v>3.459967741935484</v>
      </c>
      <c r="U135" s="18">
        <f t="shared" si="40"/>
        <v>3.2899669421487605</v>
      </c>
      <c r="V135" s="18"/>
    </row>
    <row r="136" spans="1:22" x14ac:dyDescent="0.25">
      <c r="A136" s="1" t="s">
        <v>77</v>
      </c>
      <c r="B136" s="18">
        <f t="shared" ref="B136:U136" si="41">B50/AVERAGE(SUM(B89:B98),SUM(C89:C98))</f>
        <v>7.8862876254180598</v>
      </c>
      <c r="C136" s="18">
        <f t="shared" si="41"/>
        <v>8.8194444444444446</v>
      </c>
      <c r="D136" s="18">
        <f t="shared" si="41"/>
        <v>6.7046263345195731</v>
      </c>
      <c r="E136" s="18">
        <f t="shared" si="41"/>
        <v>5.4744525547445253</v>
      </c>
      <c r="F136" s="18">
        <f t="shared" si="41"/>
        <v>5.6905660377358487</v>
      </c>
      <c r="G136" s="18">
        <f t="shared" si="41"/>
        <v>4.9486166007905137</v>
      </c>
      <c r="H136" s="18">
        <f t="shared" si="41"/>
        <v>4.7333333333333334</v>
      </c>
      <c r="I136" s="18">
        <f t="shared" si="41"/>
        <v>4.8660714285714288</v>
      </c>
      <c r="J136" s="18">
        <f t="shared" si="41"/>
        <v>5.307317073170732</v>
      </c>
      <c r="K136" s="18">
        <f t="shared" si="41"/>
        <v>5.2648648648648653</v>
      </c>
      <c r="L136" s="18">
        <f t="shared" si="41"/>
        <v>5.4642857142857144</v>
      </c>
      <c r="M136" s="18">
        <f t="shared" si="41"/>
        <v>6.7142857142857144</v>
      </c>
      <c r="N136" s="18">
        <f t="shared" si="41"/>
        <v>4.9438202247191008</v>
      </c>
      <c r="O136" s="18">
        <f t="shared" si="41"/>
        <v>3.6144578313253013</v>
      </c>
      <c r="P136" s="18">
        <f t="shared" si="41"/>
        <v>4.2664383561643833</v>
      </c>
      <c r="Q136" s="18">
        <f t="shared" si="41"/>
        <v>3.1825454545454548</v>
      </c>
      <c r="R136" s="18">
        <f t="shared" si="41"/>
        <v>2.8156451612903224</v>
      </c>
      <c r="S136" s="18">
        <f t="shared" si="41"/>
        <v>2.2829473684210524</v>
      </c>
      <c r="T136" s="18">
        <f t="shared" si="41"/>
        <v>1.8521481481481483</v>
      </c>
      <c r="U136" s="18">
        <f t="shared" si="41"/>
        <v>1.1762745098039216</v>
      </c>
      <c r="V136" s="18"/>
    </row>
    <row r="137" spans="1:22" x14ac:dyDescent="0.25">
      <c r="A137" s="6" t="s">
        <v>276</v>
      </c>
      <c r="B137" s="40">
        <f t="shared" ref="B137:U137" si="42">B51/AVERAGE(B99:C99)</f>
        <v>9.4289171203871742</v>
      </c>
      <c r="C137" s="40">
        <f t="shared" si="42"/>
        <v>8.3329192546583855</v>
      </c>
      <c r="D137" s="40">
        <f t="shared" si="42"/>
        <v>6.8928344958782501</v>
      </c>
      <c r="E137" s="40">
        <f t="shared" si="42"/>
        <v>6.1360103626943001</v>
      </c>
      <c r="F137" s="40">
        <f t="shared" si="42"/>
        <v>5.9614105123087162</v>
      </c>
      <c r="G137" s="40">
        <f t="shared" si="42"/>
        <v>5.6469780219780219</v>
      </c>
      <c r="H137" s="40">
        <f t="shared" si="42"/>
        <v>5.2419700214132758</v>
      </c>
      <c r="I137" s="40">
        <f t="shared" si="42"/>
        <v>5.3728687916975542</v>
      </c>
      <c r="J137" s="40">
        <f t="shared" si="42"/>
        <v>4.9653045489591365</v>
      </c>
      <c r="K137" s="40">
        <f t="shared" si="42"/>
        <v>4.9162640901771333</v>
      </c>
      <c r="L137" s="40">
        <f t="shared" si="42"/>
        <v>4.5983333333333336</v>
      </c>
      <c r="M137" s="40">
        <f t="shared" si="42"/>
        <v>4.3091872791519439</v>
      </c>
      <c r="N137" s="40">
        <f t="shared" si="42"/>
        <v>3.8931583880037488</v>
      </c>
      <c r="O137" s="40">
        <f t="shared" si="42"/>
        <v>3.4205967276227143</v>
      </c>
      <c r="P137" s="40">
        <f t="shared" si="42"/>
        <v>3.9376700000000002</v>
      </c>
      <c r="Q137" s="40">
        <f t="shared" si="42"/>
        <v>3.4008160676532775</v>
      </c>
      <c r="R137" s="40">
        <f t="shared" si="42"/>
        <v>3.6490056116722784</v>
      </c>
      <c r="S137" s="40">
        <f t="shared" si="42"/>
        <v>3.4689482352941181</v>
      </c>
      <c r="T137" s="40">
        <f t="shared" si="42"/>
        <v>3.4045405405405407</v>
      </c>
      <c r="U137" s="40">
        <f t="shared" si="42"/>
        <v>3.0003320363164718</v>
      </c>
      <c r="V137" s="40"/>
    </row>
    <row r="138" spans="1:22" x14ac:dyDescent="0.25">
      <c r="A138" s="22" t="s">
        <v>126</v>
      </c>
      <c r="B138" s="9"/>
      <c r="C138" s="9"/>
      <c r="D138" s="9"/>
      <c r="E138" s="9"/>
      <c r="F138" s="9"/>
      <c r="G138" s="9"/>
      <c r="H138" s="9"/>
      <c r="I138" s="9"/>
      <c r="J138" s="9"/>
      <c r="L138" s="9"/>
      <c r="M138" s="9"/>
      <c r="N138" s="9"/>
      <c r="O138" s="9"/>
      <c r="P138" s="9"/>
      <c r="Q138" s="9"/>
      <c r="R138" s="9"/>
      <c r="S138" s="9"/>
      <c r="T138" s="9"/>
      <c r="U138" s="9"/>
      <c r="V138" s="9"/>
    </row>
    <row r="139" spans="1:22" x14ac:dyDescent="0.25">
      <c r="B139" s="9"/>
      <c r="C139" s="9"/>
      <c r="D139" s="9"/>
      <c r="E139" s="9"/>
      <c r="F139" s="9"/>
      <c r="G139" s="9"/>
      <c r="H139" s="9"/>
      <c r="I139" s="9"/>
      <c r="J139" s="9"/>
      <c r="L139" s="9"/>
      <c r="M139" s="9"/>
      <c r="N139" s="9"/>
      <c r="O139" s="9"/>
      <c r="P139" s="9"/>
      <c r="Q139" s="9"/>
      <c r="R139" s="9"/>
      <c r="S139" s="9"/>
      <c r="T139" s="9"/>
      <c r="U139" s="9"/>
      <c r="V139" s="9"/>
    </row>
    <row r="140" spans="1:22" x14ac:dyDescent="0.25">
      <c r="A140" s="6" t="s">
        <v>98</v>
      </c>
      <c r="B140" s="9">
        <f t="shared" ref="B140:U140" si="43">B6/AVERAGE(B99:C99)</f>
        <v>269.48578342407745</v>
      </c>
      <c r="C140" s="9">
        <f t="shared" si="43"/>
        <v>238.57391304347826</v>
      </c>
      <c r="D140" s="9">
        <f t="shared" si="43"/>
        <v>207.00063411540901</v>
      </c>
      <c r="E140" s="9">
        <f t="shared" si="43"/>
        <v>193.45984455958549</v>
      </c>
      <c r="F140" s="9">
        <f t="shared" si="43"/>
        <v>184.21024617431803</v>
      </c>
      <c r="G140" s="9">
        <f t="shared" si="43"/>
        <v>173.3131868131868</v>
      </c>
      <c r="H140" s="9">
        <f t="shared" si="43"/>
        <v>165.70021413276231</v>
      </c>
      <c r="I140" s="9">
        <f t="shared" si="43"/>
        <v>168.51890289103039</v>
      </c>
      <c r="J140" s="9">
        <f t="shared" si="43"/>
        <v>169.94911333847341</v>
      </c>
      <c r="K140" s="9">
        <f t="shared" si="43"/>
        <v>165.65217391304347</v>
      </c>
      <c r="L140" s="9">
        <f t="shared" si="43"/>
        <v>161.77000000000001</v>
      </c>
      <c r="M140" s="9">
        <f t="shared" si="43"/>
        <v>153.79505300353358</v>
      </c>
      <c r="N140" s="9">
        <f t="shared" si="43"/>
        <v>142.93345829428304</v>
      </c>
      <c r="O140" s="9">
        <f t="shared" si="43"/>
        <v>134.53128007699712</v>
      </c>
      <c r="P140" s="9">
        <f t="shared" si="43"/>
        <v>141.95496799999998</v>
      </c>
      <c r="Q140" s="9">
        <f t="shared" si="43"/>
        <v>133.37759196617336</v>
      </c>
      <c r="R140" s="9">
        <f t="shared" si="43"/>
        <v>132.35281705948373</v>
      </c>
      <c r="S140" s="9">
        <f t="shared" si="43"/>
        <v>122.0684</v>
      </c>
      <c r="T140" s="9">
        <f t="shared" si="43"/>
        <v>115.84429238329238</v>
      </c>
      <c r="U140" s="9">
        <f t="shared" si="43"/>
        <v>108.15226718547341</v>
      </c>
      <c r="V140" s="9"/>
    </row>
    <row r="141" spans="1:22" x14ac:dyDescent="0.25">
      <c r="A141" s="6" t="s">
        <v>99</v>
      </c>
      <c r="B141" s="9">
        <f t="shared" ref="B141:R141" si="44">B6/AVERAGE(B107,C107)</f>
        <v>1845.3189726594862</v>
      </c>
      <c r="C141" s="9">
        <f t="shared" si="44"/>
        <v>1634.4851063829788</v>
      </c>
      <c r="D141" s="9">
        <f t="shared" si="44"/>
        <v>1419.304347826087</v>
      </c>
      <c r="E141" s="9">
        <f t="shared" si="44"/>
        <v>1329.9287622439892</v>
      </c>
      <c r="F141" s="9">
        <f t="shared" si="44"/>
        <v>1270.0366972477063</v>
      </c>
      <c r="G141" s="9">
        <f t="shared" si="44"/>
        <v>1198.7838479809977</v>
      </c>
      <c r="H141" s="9">
        <f t="shared" si="44"/>
        <v>1149.806835066865</v>
      </c>
      <c r="I141" s="9">
        <f t="shared" si="44"/>
        <v>1171.8144329896907</v>
      </c>
      <c r="J141" s="9">
        <f t="shared" si="44"/>
        <v>1184.4384739387428</v>
      </c>
      <c r="K141" s="9">
        <f t="shared" si="44"/>
        <v>1157.7940348902646</v>
      </c>
      <c r="L141" s="9">
        <f t="shared" si="44"/>
        <v>1133.2399299474605</v>
      </c>
      <c r="M141" s="9">
        <f t="shared" si="44"/>
        <v>1076.6604823747682</v>
      </c>
      <c r="N141" s="9">
        <f t="shared" si="44"/>
        <v>1000.0655737704918</v>
      </c>
      <c r="O141" s="9">
        <f t="shared" si="44"/>
        <v>945.08451656524699</v>
      </c>
      <c r="P141" s="9">
        <f t="shared" si="44"/>
        <v>1004.6353007784853</v>
      </c>
      <c r="Q141" s="9">
        <f t="shared" si="44"/>
        <v>950.11447289156627</v>
      </c>
      <c r="R141" s="9">
        <f t="shared" si="44"/>
        <v>957.19448051948052</v>
      </c>
      <c r="S141" s="9"/>
      <c r="T141" s="9"/>
      <c r="U141" s="9"/>
      <c r="V141" s="9"/>
    </row>
    <row r="142" spans="1:22" x14ac:dyDescent="0.25">
      <c r="B142" s="9"/>
      <c r="C142" s="9"/>
      <c r="D142" s="9"/>
      <c r="E142" s="9"/>
      <c r="F142" s="9"/>
      <c r="G142" s="9"/>
      <c r="H142" s="9"/>
      <c r="I142" s="9"/>
      <c r="J142" s="9"/>
      <c r="L142" s="9"/>
      <c r="M142" s="9"/>
      <c r="N142" s="9"/>
      <c r="O142" s="9"/>
      <c r="P142" s="9"/>
      <c r="Q142" s="9"/>
      <c r="R142" s="9"/>
      <c r="S142" s="9"/>
      <c r="T142" s="9"/>
      <c r="U142" s="9"/>
      <c r="V142" s="9"/>
    </row>
    <row r="143" spans="1:22" x14ac:dyDescent="0.25">
      <c r="A143" s="39" t="s">
        <v>129</v>
      </c>
      <c r="B143" s="9"/>
      <c r="C143" s="9"/>
      <c r="D143" s="9"/>
      <c r="E143" s="9"/>
      <c r="F143" s="9"/>
      <c r="G143" s="9"/>
      <c r="H143" s="9"/>
      <c r="I143" s="9"/>
      <c r="J143" s="9"/>
      <c r="L143" s="9"/>
      <c r="M143" s="9"/>
      <c r="N143" s="9"/>
      <c r="O143" s="9"/>
      <c r="P143" s="9"/>
      <c r="Q143" s="9"/>
      <c r="R143" s="9"/>
      <c r="S143" s="9"/>
      <c r="T143" s="9"/>
      <c r="U143" s="9"/>
      <c r="V143" s="9"/>
    </row>
    <row r="144" spans="1:22" x14ac:dyDescent="0.25">
      <c r="A144" s="1" t="s">
        <v>130</v>
      </c>
      <c r="B144" s="90" t="s">
        <v>95</v>
      </c>
      <c r="C144" s="90"/>
      <c r="D144" s="90"/>
      <c r="E144" s="90"/>
      <c r="F144" s="90"/>
      <c r="G144" s="90"/>
      <c r="H144" s="90"/>
      <c r="I144" s="9">
        <v>680</v>
      </c>
      <c r="J144" s="9">
        <v>657</v>
      </c>
      <c r="K144" s="8">
        <v>628</v>
      </c>
      <c r="L144" s="9">
        <v>602</v>
      </c>
      <c r="M144" s="9">
        <v>586</v>
      </c>
      <c r="N144" s="9">
        <v>534</v>
      </c>
      <c r="O144" s="9">
        <v>521</v>
      </c>
      <c r="P144" s="9">
        <v>506</v>
      </c>
      <c r="Q144" s="9">
        <v>482</v>
      </c>
      <c r="R144" s="9">
        <v>452</v>
      </c>
      <c r="S144" s="9">
        <v>427</v>
      </c>
      <c r="T144" s="9">
        <v>412</v>
      </c>
      <c r="U144" s="9"/>
      <c r="V144" s="9"/>
    </row>
    <row r="145" spans="1:22" x14ac:dyDescent="0.25">
      <c r="A145" s="1" t="s">
        <v>131</v>
      </c>
      <c r="B145" s="90"/>
      <c r="C145" s="90"/>
      <c r="D145" s="90"/>
      <c r="E145" s="90"/>
      <c r="F145" s="90"/>
      <c r="G145" s="90"/>
      <c r="H145" s="90"/>
      <c r="I145" s="9">
        <v>662</v>
      </c>
      <c r="J145" s="9">
        <v>641</v>
      </c>
      <c r="K145" s="8">
        <v>614</v>
      </c>
      <c r="L145" s="9">
        <v>589</v>
      </c>
      <c r="M145" s="9">
        <v>574</v>
      </c>
      <c r="N145" s="9">
        <v>523</v>
      </c>
      <c r="O145" s="9">
        <v>509</v>
      </c>
      <c r="P145" s="9">
        <v>496</v>
      </c>
      <c r="Q145" s="9">
        <v>472</v>
      </c>
      <c r="R145" s="9">
        <v>442</v>
      </c>
      <c r="S145" s="9">
        <v>414</v>
      </c>
      <c r="T145" s="9">
        <v>397</v>
      </c>
      <c r="U145" s="9"/>
      <c r="V145" s="9"/>
    </row>
    <row r="146" spans="1:22" x14ac:dyDescent="0.25">
      <c r="A146" s="1" t="s">
        <v>132</v>
      </c>
      <c r="B146" s="90"/>
      <c r="C146" s="90"/>
      <c r="D146" s="90"/>
      <c r="E146" s="90"/>
      <c r="F146" s="90"/>
      <c r="G146" s="90"/>
      <c r="H146" s="90"/>
      <c r="I146" s="9">
        <v>656</v>
      </c>
      <c r="J146" s="9">
        <v>649</v>
      </c>
      <c r="K146" s="8">
        <v>622</v>
      </c>
      <c r="L146" s="9">
        <v>591</v>
      </c>
      <c r="M146" s="9">
        <v>581</v>
      </c>
      <c r="N146" s="9">
        <v>530</v>
      </c>
      <c r="O146" s="9">
        <v>518</v>
      </c>
      <c r="P146" s="9">
        <v>504</v>
      </c>
      <c r="Q146" s="9">
        <v>480</v>
      </c>
      <c r="R146" s="9">
        <v>450</v>
      </c>
      <c r="S146" s="9">
        <v>423</v>
      </c>
      <c r="T146" s="9">
        <v>408</v>
      </c>
      <c r="U146" s="9"/>
      <c r="V146" s="9"/>
    </row>
    <row r="147" spans="1:22" x14ac:dyDescent="0.25">
      <c r="A147" s="1" t="s">
        <v>133</v>
      </c>
      <c r="B147" s="90"/>
      <c r="C147" s="90"/>
      <c r="D147" s="90"/>
      <c r="E147" s="90"/>
      <c r="F147" s="90"/>
      <c r="G147" s="90"/>
      <c r="H147" s="90"/>
      <c r="I147" s="9">
        <v>606</v>
      </c>
      <c r="J147" s="9">
        <v>589</v>
      </c>
      <c r="K147" s="8">
        <v>565</v>
      </c>
      <c r="L147" s="9">
        <v>544</v>
      </c>
      <c r="M147" s="9">
        <v>529</v>
      </c>
      <c r="N147" s="9">
        <v>480</v>
      </c>
      <c r="O147" s="9">
        <v>464</v>
      </c>
      <c r="P147" s="9">
        <v>451</v>
      </c>
      <c r="Q147" s="9">
        <v>429</v>
      </c>
      <c r="R147" s="9">
        <v>401</v>
      </c>
      <c r="S147" s="9">
        <v>374</v>
      </c>
      <c r="T147" s="9">
        <v>359</v>
      </c>
      <c r="U147" s="9"/>
      <c r="V147" s="9"/>
    </row>
    <row r="148" spans="1:22" x14ac:dyDescent="0.25">
      <c r="A148" s="1" t="s">
        <v>134</v>
      </c>
      <c r="B148" s="90"/>
      <c r="C148" s="90"/>
      <c r="D148" s="90"/>
      <c r="E148" s="90"/>
      <c r="F148" s="90"/>
      <c r="G148" s="90"/>
      <c r="H148" s="90"/>
      <c r="I148" s="9">
        <v>581</v>
      </c>
      <c r="J148" s="9">
        <v>549</v>
      </c>
      <c r="K148" s="8">
        <v>502</v>
      </c>
      <c r="L148" s="9">
        <v>469</v>
      </c>
      <c r="M148" s="9">
        <v>427</v>
      </c>
      <c r="N148" s="9">
        <v>357</v>
      </c>
      <c r="O148" s="9">
        <v>303</v>
      </c>
      <c r="P148" s="9">
        <v>274</v>
      </c>
      <c r="Q148" s="9">
        <v>237</v>
      </c>
      <c r="R148" s="9">
        <v>196</v>
      </c>
      <c r="S148" s="9">
        <v>168</v>
      </c>
      <c r="T148" s="9">
        <v>143</v>
      </c>
      <c r="U148" s="9"/>
      <c r="V148" s="9"/>
    </row>
    <row r="149" spans="1:22" x14ac:dyDescent="0.25">
      <c r="A149" s="1" t="s">
        <v>135</v>
      </c>
      <c r="B149" s="44">
        <v>668</v>
      </c>
      <c r="C149" s="44">
        <v>636</v>
      </c>
      <c r="D149" s="44">
        <v>615</v>
      </c>
      <c r="E149" s="44">
        <v>593</v>
      </c>
      <c r="F149" s="44">
        <v>567</v>
      </c>
      <c r="G149" s="44">
        <v>536</v>
      </c>
      <c r="H149" s="44">
        <v>508</v>
      </c>
      <c r="I149" s="9">
        <v>472</v>
      </c>
      <c r="J149" s="9">
        <v>445</v>
      </c>
      <c r="K149" s="8">
        <v>414</v>
      </c>
      <c r="L149" s="9">
        <v>394</v>
      </c>
      <c r="M149" s="9">
        <v>368</v>
      </c>
      <c r="N149" s="9">
        <v>343</v>
      </c>
      <c r="O149" s="9">
        <v>323</v>
      </c>
      <c r="P149" s="9">
        <v>307</v>
      </c>
      <c r="Q149" s="9">
        <v>279</v>
      </c>
      <c r="R149" s="9">
        <v>250</v>
      </c>
      <c r="S149" s="9">
        <v>225</v>
      </c>
      <c r="T149" s="9">
        <v>211</v>
      </c>
      <c r="U149" s="9"/>
      <c r="V149" s="9"/>
    </row>
    <row r="150" spans="1:22" x14ac:dyDescent="0.25">
      <c r="A150" s="1" t="s">
        <v>137</v>
      </c>
      <c r="B150" s="90" t="s">
        <v>95</v>
      </c>
      <c r="C150" s="90"/>
      <c r="D150" s="90"/>
      <c r="E150" s="90"/>
      <c r="F150" s="90"/>
      <c r="G150" s="90"/>
      <c r="H150" s="90"/>
      <c r="I150" s="90"/>
      <c r="J150" s="90"/>
      <c r="K150" s="90"/>
      <c r="L150" s="9">
        <v>10</v>
      </c>
      <c r="M150" s="9">
        <v>10</v>
      </c>
      <c r="N150" s="9">
        <v>10</v>
      </c>
      <c r="O150" s="9">
        <v>10</v>
      </c>
      <c r="P150" s="9">
        <v>7</v>
      </c>
      <c r="Q150" s="9">
        <v>8</v>
      </c>
      <c r="R150" s="9">
        <v>9</v>
      </c>
      <c r="S150" s="9">
        <v>10</v>
      </c>
      <c r="T150" s="9">
        <v>10</v>
      </c>
      <c r="U150" s="9"/>
      <c r="V150" s="9"/>
    </row>
    <row r="151" spans="1:22" x14ac:dyDescent="0.25">
      <c r="A151" s="1" t="s">
        <v>138</v>
      </c>
      <c r="B151" s="90"/>
      <c r="C151" s="90"/>
      <c r="D151" s="90"/>
      <c r="E151" s="90"/>
      <c r="F151" s="90"/>
      <c r="G151" s="90"/>
      <c r="H151" s="90"/>
      <c r="I151" s="90"/>
      <c r="J151" s="90"/>
      <c r="K151" s="90"/>
      <c r="L151" s="9">
        <v>7</v>
      </c>
      <c r="M151" s="9">
        <v>7</v>
      </c>
      <c r="N151" s="9">
        <v>7</v>
      </c>
      <c r="O151" s="9">
        <v>2</v>
      </c>
      <c r="P151" s="9">
        <v>2</v>
      </c>
      <c r="Q151" s="9">
        <v>1</v>
      </c>
      <c r="R151" s="9">
        <v>0</v>
      </c>
      <c r="S151" s="9">
        <v>0</v>
      </c>
      <c r="T151" s="9">
        <v>0</v>
      </c>
      <c r="U151" s="9"/>
      <c r="V151" s="9"/>
    </row>
    <row r="152" spans="1:22" s="6" customFormat="1" x14ac:dyDescent="0.25">
      <c r="A152" s="6" t="s">
        <v>136</v>
      </c>
      <c r="B152" s="7">
        <v>838</v>
      </c>
      <c r="C152" s="7">
        <v>815</v>
      </c>
      <c r="D152" s="7">
        <v>795</v>
      </c>
      <c r="E152" s="7">
        <v>782</v>
      </c>
      <c r="F152" s="7">
        <v>762</v>
      </c>
      <c r="G152" s="7">
        <v>741</v>
      </c>
      <c r="H152" s="7">
        <v>715</v>
      </c>
      <c r="I152" s="7">
        <v>686</v>
      </c>
      <c r="J152" s="7">
        <v>663</v>
      </c>
      <c r="K152" s="16">
        <v>634</v>
      </c>
      <c r="L152" s="7">
        <v>608</v>
      </c>
      <c r="M152" s="7">
        <v>592</v>
      </c>
      <c r="N152" s="7">
        <v>540</v>
      </c>
      <c r="O152" s="7">
        <v>527</v>
      </c>
      <c r="P152" s="7">
        <v>512</v>
      </c>
      <c r="Q152" s="7">
        <v>488</v>
      </c>
      <c r="R152" s="7">
        <v>458</v>
      </c>
      <c r="S152" s="7">
        <v>433</v>
      </c>
      <c r="T152" s="7">
        <v>417</v>
      </c>
      <c r="U152" s="7"/>
      <c r="V152" s="7"/>
    </row>
    <row r="153" spans="1:22" s="6" customFormat="1" x14ac:dyDescent="0.25">
      <c r="B153" s="7"/>
      <c r="C153" s="7"/>
      <c r="D153" s="7"/>
      <c r="E153" s="7"/>
      <c r="F153" s="7"/>
      <c r="G153" s="7"/>
      <c r="H153" s="7"/>
      <c r="I153" s="7"/>
      <c r="J153" s="7"/>
      <c r="K153" s="16"/>
      <c r="L153" s="7"/>
      <c r="M153" s="7"/>
      <c r="N153" s="7"/>
      <c r="O153" s="7"/>
      <c r="P153" s="7"/>
      <c r="Q153" s="7"/>
      <c r="R153" s="7"/>
      <c r="S153" s="7"/>
      <c r="T153" s="7"/>
      <c r="U153" s="7"/>
      <c r="V153" s="7"/>
    </row>
    <row r="154" spans="1:22" s="6" customFormat="1" x14ac:dyDescent="0.25">
      <c r="A154" s="39" t="s">
        <v>139</v>
      </c>
      <c r="B154" s="35" t="s">
        <v>140</v>
      </c>
      <c r="C154" s="7"/>
      <c r="D154" s="7"/>
      <c r="E154" s="7"/>
      <c r="F154" s="7"/>
      <c r="G154" s="7"/>
      <c r="H154" s="7"/>
      <c r="I154" s="7"/>
      <c r="J154" s="7"/>
      <c r="K154" s="16"/>
      <c r="L154" s="7"/>
      <c r="M154" s="7"/>
      <c r="N154" s="7"/>
      <c r="O154" s="7"/>
      <c r="P154" s="7"/>
      <c r="Q154" s="7"/>
      <c r="R154" s="7"/>
      <c r="S154" s="7"/>
      <c r="T154" s="7"/>
      <c r="U154" s="7"/>
      <c r="V154" s="7"/>
    </row>
    <row r="155" spans="1:22" s="6" customFormat="1" x14ac:dyDescent="0.25">
      <c r="A155" s="1" t="s">
        <v>130</v>
      </c>
      <c r="B155" s="89" t="s">
        <v>95</v>
      </c>
      <c r="C155" s="89"/>
      <c r="D155" s="89"/>
      <c r="E155" s="89"/>
      <c r="F155" s="89"/>
      <c r="G155" s="89"/>
      <c r="H155" s="89"/>
      <c r="I155" s="17">
        <f t="shared" ref="I155:T155" si="45">I144/I152</f>
        <v>0.99125364431486884</v>
      </c>
      <c r="J155" s="17">
        <f t="shared" si="45"/>
        <v>0.99095022624434392</v>
      </c>
      <c r="K155" s="17">
        <f t="shared" si="45"/>
        <v>0.99053627760252361</v>
      </c>
      <c r="L155" s="17">
        <f t="shared" si="45"/>
        <v>0.99013157894736847</v>
      </c>
      <c r="M155" s="17">
        <f t="shared" si="45"/>
        <v>0.98986486486486491</v>
      </c>
      <c r="N155" s="17">
        <f t="shared" si="45"/>
        <v>0.98888888888888893</v>
      </c>
      <c r="O155" s="17">
        <f t="shared" si="45"/>
        <v>0.98861480075901331</v>
      </c>
      <c r="P155" s="17">
        <f t="shared" si="45"/>
        <v>0.98828125</v>
      </c>
      <c r="Q155" s="17">
        <f t="shared" si="45"/>
        <v>0.98770491803278693</v>
      </c>
      <c r="R155" s="17">
        <f t="shared" si="45"/>
        <v>0.98689956331877726</v>
      </c>
      <c r="S155" s="17">
        <f t="shared" si="45"/>
        <v>0.98614318706697457</v>
      </c>
      <c r="T155" s="17">
        <f t="shared" si="45"/>
        <v>0.98800959232613905</v>
      </c>
      <c r="U155" s="7"/>
      <c r="V155" s="7"/>
    </row>
    <row r="156" spans="1:22" s="6" customFormat="1" x14ac:dyDescent="0.25">
      <c r="A156" s="1" t="s">
        <v>131</v>
      </c>
      <c r="B156" s="89"/>
      <c r="C156" s="89"/>
      <c r="D156" s="89"/>
      <c r="E156" s="89"/>
      <c r="F156" s="89"/>
      <c r="G156" s="89"/>
      <c r="H156" s="89"/>
      <c r="I156" s="17">
        <f t="shared" ref="I156:T156" si="46">I145/I152</f>
        <v>0.96501457725947526</v>
      </c>
      <c r="J156" s="17">
        <f t="shared" si="46"/>
        <v>0.96681749622926094</v>
      </c>
      <c r="K156" s="17">
        <f t="shared" si="46"/>
        <v>0.96845425867507884</v>
      </c>
      <c r="L156" s="17">
        <f t="shared" si="46"/>
        <v>0.96875</v>
      </c>
      <c r="M156" s="17">
        <f t="shared" si="46"/>
        <v>0.96959459459459463</v>
      </c>
      <c r="N156" s="17">
        <f t="shared" si="46"/>
        <v>0.96851851851851856</v>
      </c>
      <c r="O156" s="17">
        <f t="shared" si="46"/>
        <v>0.96584440227703983</v>
      </c>
      <c r="P156" s="17">
        <f t="shared" si="46"/>
        <v>0.96875</v>
      </c>
      <c r="Q156" s="17">
        <f t="shared" si="46"/>
        <v>0.96721311475409832</v>
      </c>
      <c r="R156" s="17">
        <f t="shared" si="46"/>
        <v>0.96506550218340614</v>
      </c>
      <c r="S156" s="17">
        <f t="shared" si="46"/>
        <v>0.95612009237875284</v>
      </c>
      <c r="T156" s="17">
        <f t="shared" si="46"/>
        <v>0.95203836930455632</v>
      </c>
      <c r="U156" s="7"/>
      <c r="V156" s="7"/>
    </row>
    <row r="157" spans="1:22" s="6" customFormat="1" x14ac:dyDescent="0.25">
      <c r="A157" s="1" t="s">
        <v>132</v>
      </c>
      <c r="B157" s="89"/>
      <c r="C157" s="89"/>
      <c r="D157" s="89"/>
      <c r="E157" s="89"/>
      <c r="F157" s="89"/>
      <c r="G157" s="89"/>
      <c r="H157" s="89"/>
      <c r="I157" s="17">
        <f t="shared" ref="I157:T157" si="47">I146/I152</f>
        <v>0.95626822157434399</v>
      </c>
      <c r="J157" s="17">
        <f t="shared" si="47"/>
        <v>0.97888386123680238</v>
      </c>
      <c r="K157" s="17">
        <f t="shared" si="47"/>
        <v>0.98107255520504733</v>
      </c>
      <c r="L157" s="17">
        <f t="shared" si="47"/>
        <v>0.97203947368421051</v>
      </c>
      <c r="M157" s="17">
        <f t="shared" si="47"/>
        <v>0.98141891891891897</v>
      </c>
      <c r="N157" s="17">
        <f t="shared" si="47"/>
        <v>0.98148148148148151</v>
      </c>
      <c r="O157" s="17">
        <f t="shared" si="47"/>
        <v>0.98292220113851991</v>
      </c>
      <c r="P157" s="17">
        <f t="shared" si="47"/>
        <v>0.984375</v>
      </c>
      <c r="Q157" s="17">
        <f t="shared" si="47"/>
        <v>0.98360655737704916</v>
      </c>
      <c r="R157" s="17">
        <f t="shared" si="47"/>
        <v>0.98253275109170302</v>
      </c>
      <c r="S157" s="17">
        <f t="shared" si="47"/>
        <v>0.97690531177829099</v>
      </c>
      <c r="T157" s="17">
        <f t="shared" si="47"/>
        <v>0.97841726618705038</v>
      </c>
      <c r="U157" s="7"/>
      <c r="V157" s="7"/>
    </row>
    <row r="158" spans="1:22" s="6" customFormat="1" x14ac:dyDescent="0.25">
      <c r="A158" s="1" t="s">
        <v>133</v>
      </c>
      <c r="B158" s="89"/>
      <c r="C158" s="89"/>
      <c r="D158" s="89"/>
      <c r="E158" s="89"/>
      <c r="F158" s="89"/>
      <c r="G158" s="89"/>
      <c r="H158" s="89"/>
      <c r="I158" s="17">
        <f t="shared" ref="I158:T158" si="48">I147/I152</f>
        <v>0.88338192419825068</v>
      </c>
      <c r="J158" s="17">
        <f t="shared" si="48"/>
        <v>0.88838612368024128</v>
      </c>
      <c r="K158" s="17">
        <f t="shared" si="48"/>
        <v>0.89116719242902209</v>
      </c>
      <c r="L158" s="17">
        <f t="shared" si="48"/>
        <v>0.89473684210526316</v>
      </c>
      <c r="M158" s="17">
        <f t="shared" si="48"/>
        <v>0.89358108108108103</v>
      </c>
      <c r="N158" s="17">
        <f t="shared" si="48"/>
        <v>0.88888888888888884</v>
      </c>
      <c r="O158" s="17">
        <f t="shared" si="48"/>
        <v>0.8804554079696395</v>
      </c>
      <c r="P158" s="17">
        <f t="shared" si="48"/>
        <v>0.880859375</v>
      </c>
      <c r="Q158" s="17">
        <f t="shared" si="48"/>
        <v>0.87909836065573765</v>
      </c>
      <c r="R158" s="17">
        <f t="shared" si="48"/>
        <v>0.87554585152838427</v>
      </c>
      <c r="S158" s="17">
        <f t="shared" si="48"/>
        <v>0.86374133949191689</v>
      </c>
      <c r="T158" s="17">
        <f t="shared" si="48"/>
        <v>0.86091127098321341</v>
      </c>
      <c r="U158" s="7"/>
      <c r="V158" s="7"/>
    </row>
    <row r="159" spans="1:22" s="6" customFormat="1" x14ac:dyDescent="0.25">
      <c r="A159" s="1" t="s">
        <v>134</v>
      </c>
      <c r="B159" s="89"/>
      <c r="C159" s="89"/>
      <c r="D159" s="89"/>
      <c r="E159" s="89"/>
      <c r="F159" s="89"/>
      <c r="G159" s="89"/>
      <c r="H159" s="89"/>
      <c r="I159" s="17">
        <f t="shared" ref="I159:T159" si="49">I148/I152</f>
        <v>0.84693877551020413</v>
      </c>
      <c r="J159" s="17">
        <f t="shared" si="49"/>
        <v>0.82805429864253388</v>
      </c>
      <c r="K159" s="17">
        <f t="shared" si="49"/>
        <v>0.79179810725552047</v>
      </c>
      <c r="L159" s="17">
        <f t="shared" si="49"/>
        <v>0.77138157894736847</v>
      </c>
      <c r="M159" s="17">
        <f t="shared" si="49"/>
        <v>0.72128378378378377</v>
      </c>
      <c r="N159" s="17">
        <f t="shared" si="49"/>
        <v>0.66111111111111109</v>
      </c>
      <c r="O159" s="17">
        <f t="shared" si="49"/>
        <v>0.57495256166982922</v>
      </c>
      <c r="P159" s="17">
        <f t="shared" si="49"/>
        <v>0.53515625</v>
      </c>
      <c r="Q159" s="17">
        <f t="shared" si="49"/>
        <v>0.48565573770491804</v>
      </c>
      <c r="R159" s="17">
        <f t="shared" si="49"/>
        <v>0.42794759825327511</v>
      </c>
      <c r="S159" s="17">
        <f t="shared" si="49"/>
        <v>0.38799076212471134</v>
      </c>
      <c r="T159" s="17">
        <f t="shared" si="49"/>
        <v>0.34292565947242204</v>
      </c>
      <c r="U159" s="7"/>
      <c r="V159" s="7"/>
    </row>
    <row r="160" spans="1:22" s="6" customFormat="1" x14ac:dyDescent="0.25">
      <c r="A160" s="1" t="s">
        <v>135</v>
      </c>
      <c r="B160" s="17">
        <f t="shared" ref="B160:T160" si="50">B149/B152</f>
        <v>0.79713603818615753</v>
      </c>
      <c r="C160" s="17">
        <f t="shared" si="50"/>
        <v>0.78036809815950925</v>
      </c>
      <c r="D160" s="17">
        <f t="shared" si="50"/>
        <v>0.77358490566037741</v>
      </c>
      <c r="E160" s="17">
        <f t="shared" si="50"/>
        <v>0.75831202046035806</v>
      </c>
      <c r="F160" s="17">
        <f t="shared" si="50"/>
        <v>0.74409448818897639</v>
      </c>
      <c r="G160" s="17">
        <f t="shared" si="50"/>
        <v>0.72334682860998656</v>
      </c>
      <c r="H160" s="17">
        <f t="shared" si="50"/>
        <v>0.71048951048951048</v>
      </c>
      <c r="I160" s="17">
        <f t="shared" si="50"/>
        <v>0.68804664723032072</v>
      </c>
      <c r="J160" s="17">
        <f t="shared" si="50"/>
        <v>0.67119155354449467</v>
      </c>
      <c r="K160" s="17">
        <f t="shared" si="50"/>
        <v>0.65299684542586756</v>
      </c>
      <c r="L160" s="17">
        <f t="shared" si="50"/>
        <v>0.64802631578947367</v>
      </c>
      <c r="M160" s="17">
        <f t="shared" si="50"/>
        <v>0.6216216216216216</v>
      </c>
      <c r="N160" s="17">
        <f t="shared" si="50"/>
        <v>0.63518518518518519</v>
      </c>
      <c r="O160" s="17">
        <f t="shared" si="50"/>
        <v>0.61290322580645162</v>
      </c>
      <c r="P160" s="17">
        <f t="shared" si="50"/>
        <v>0.599609375</v>
      </c>
      <c r="Q160" s="17">
        <f t="shared" si="50"/>
        <v>0.57172131147540983</v>
      </c>
      <c r="R160" s="17">
        <f t="shared" si="50"/>
        <v>0.54585152838427953</v>
      </c>
      <c r="S160" s="17">
        <f t="shared" si="50"/>
        <v>0.51963048498845266</v>
      </c>
      <c r="T160" s="17">
        <f t="shared" si="50"/>
        <v>0.50599520383693042</v>
      </c>
      <c r="U160" s="7"/>
      <c r="V160" s="7"/>
    </row>
    <row r="161" spans="1:22" s="6" customFormat="1" x14ac:dyDescent="0.25">
      <c r="A161" s="1" t="s">
        <v>137</v>
      </c>
      <c r="B161" s="89" t="s">
        <v>95</v>
      </c>
      <c r="C161" s="89"/>
      <c r="D161" s="89"/>
      <c r="E161" s="89"/>
      <c r="F161" s="89"/>
      <c r="G161" s="89"/>
      <c r="H161" s="89"/>
      <c r="I161" s="89"/>
      <c r="J161" s="89"/>
      <c r="K161" s="89"/>
      <c r="L161" s="17">
        <f t="shared" ref="L161:T161" si="51">L150/L152</f>
        <v>1.6447368421052631E-2</v>
      </c>
      <c r="M161" s="17">
        <f t="shared" si="51"/>
        <v>1.6891891891891893E-2</v>
      </c>
      <c r="N161" s="17">
        <f t="shared" si="51"/>
        <v>1.8518518518518517E-2</v>
      </c>
      <c r="O161" s="17">
        <f t="shared" si="51"/>
        <v>1.8975332068311195E-2</v>
      </c>
      <c r="P161" s="17">
        <f t="shared" si="51"/>
        <v>1.3671875E-2</v>
      </c>
      <c r="Q161" s="17">
        <f t="shared" si="51"/>
        <v>1.6393442622950821E-2</v>
      </c>
      <c r="R161" s="17">
        <f t="shared" si="51"/>
        <v>1.9650655021834062E-2</v>
      </c>
      <c r="S161" s="17">
        <f t="shared" si="51"/>
        <v>2.3094688221709007E-2</v>
      </c>
      <c r="T161" s="17">
        <f t="shared" si="51"/>
        <v>2.3980815347721823E-2</v>
      </c>
      <c r="U161" s="7"/>
      <c r="V161" s="7"/>
    </row>
    <row r="162" spans="1:22" s="6" customFormat="1" x14ac:dyDescent="0.25">
      <c r="A162" s="1" t="s">
        <v>138</v>
      </c>
      <c r="B162" s="89"/>
      <c r="C162" s="89"/>
      <c r="D162" s="89"/>
      <c r="E162" s="89"/>
      <c r="F162" s="89"/>
      <c r="G162" s="89"/>
      <c r="H162" s="89"/>
      <c r="I162" s="89"/>
      <c r="J162" s="89"/>
      <c r="K162" s="89"/>
      <c r="L162" s="17">
        <f t="shared" ref="L162:T162" si="52">L151/L152</f>
        <v>1.1513157894736841E-2</v>
      </c>
      <c r="M162" s="17">
        <f t="shared" si="52"/>
        <v>1.1824324324324325E-2</v>
      </c>
      <c r="N162" s="17">
        <f t="shared" si="52"/>
        <v>1.2962962962962963E-2</v>
      </c>
      <c r="O162" s="17">
        <f t="shared" si="52"/>
        <v>3.7950664136622392E-3</v>
      </c>
      <c r="P162" s="17">
        <f t="shared" si="52"/>
        <v>3.90625E-3</v>
      </c>
      <c r="Q162" s="17">
        <f t="shared" si="52"/>
        <v>2.0491803278688526E-3</v>
      </c>
      <c r="R162" s="17">
        <f t="shared" si="52"/>
        <v>0</v>
      </c>
      <c r="S162" s="17">
        <f t="shared" si="52"/>
        <v>0</v>
      </c>
      <c r="T162" s="17">
        <f t="shared" si="52"/>
        <v>0</v>
      </c>
      <c r="U162" s="7"/>
      <c r="V162" s="7"/>
    </row>
    <row r="163" spans="1:22" x14ac:dyDescent="0.25">
      <c r="B163" s="9"/>
      <c r="C163" s="9"/>
      <c r="D163" s="9"/>
      <c r="E163" s="9"/>
      <c r="F163" s="9"/>
      <c r="G163" s="9"/>
      <c r="H163" s="9"/>
      <c r="I163" s="9"/>
      <c r="J163" s="9"/>
      <c r="L163" s="9"/>
      <c r="M163" s="9"/>
      <c r="N163" s="9"/>
      <c r="O163" s="9"/>
      <c r="P163" s="9"/>
      <c r="Q163" s="9"/>
      <c r="R163" s="9"/>
      <c r="S163" s="9"/>
      <c r="T163" s="9"/>
      <c r="U163" s="9"/>
      <c r="V163" s="9"/>
    </row>
    <row r="164" spans="1:22" x14ac:dyDescent="0.25">
      <c r="A164" s="39" t="s">
        <v>128</v>
      </c>
      <c r="B164" s="9"/>
      <c r="C164" s="9"/>
      <c r="D164" s="9"/>
      <c r="E164" s="9"/>
      <c r="F164" s="9"/>
      <c r="G164" s="9"/>
      <c r="H164" s="9"/>
      <c r="I164" s="9"/>
      <c r="J164" s="9"/>
      <c r="L164" s="9"/>
      <c r="M164" s="9"/>
      <c r="N164" s="9"/>
      <c r="O164" s="9"/>
      <c r="P164" s="9"/>
      <c r="Q164" s="9"/>
      <c r="R164" s="9"/>
      <c r="S164" s="9"/>
      <c r="T164" s="9"/>
      <c r="U164" s="9"/>
      <c r="V164" s="9"/>
    </row>
    <row r="165" spans="1:22" s="6" customFormat="1" x14ac:dyDescent="0.25">
      <c r="A165" s="6" t="s">
        <v>127</v>
      </c>
      <c r="B165" s="7">
        <v>668</v>
      </c>
      <c r="C165" s="7">
        <v>636</v>
      </c>
      <c r="D165" s="7">
        <v>615</v>
      </c>
      <c r="E165" s="7">
        <v>593</v>
      </c>
      <c r="F165" s="7">
        <v>567</v>
      </c>
      <c r="G165" s="7">
        <v>536</v>
      </c>
      <c r="H165" s="7">
        <v>508</v>
      </c>
      <c r="I165" s="7">
        <v>472</v>
      </c>
      <c r="J165" s="7">
        <v>445</v>
      </c>
      <c r="K165" s="16">
        <v>414</v>
      </c>
      <c r="L165" s="7">
        <v>394</v>
      </c>
      <c r="M165" s="7">
        <v>368</v>
      </c>
      <c r="N165" s="7">
        <v>343</v>
      </c>
      <c r="O165" s="7">
        <v>323</v>
      </c>
      <c r="P165" s="7">
        <v>307</v>
      </c>
      <c r="Q165" s="7">
        <v>279</v>
      </c>
      <c r="R165" s="7">
        <v>250</v>
      </c>
      <c r="S165" s="7">
        <v>225</v>
      </c>
      <c r="T165" s="7">
        <v>211</v>
      </c>
      <c r="U165" s="50"/>
      <c r="V165" s="50"/>
    </row>
    <row r="166" spans="1:22" x14ac:dyDescent="0.25">
      <c r="A166" s="1" t="s">
        <v>91</v>
      </c>
      <c r="B166" s="14">
        <v>0.14000000000000001</v>
      </c>
      <c r="C166" s="14">
        <v>0.09</v>
      </c>
      <c r="D166" s="14">
        <v>0.09</v>
      </c>
      <c r="E166" s="14">
        <v>0.11</v>
      </c>
      <c r="F166" s="14"/>
      <c r="G166" s="14"/>
      <c r="H166" s="14"/>
      <c r="I166" s="14"/>
      <c r="J166" s="14"/>
      <c r="K166" s="30"/>
      <c r="L166" s="14"/>
      <c r="M166" s="14"/>
      <c r="N166" s="14"/>
      <c r="O166" s="14"/>
      <c r="P166" s="14"/>
      <c r="Q166" s="14"/>
      <c r="R166" s="14"/>
      <c r="S166" s="14"/>
      <c r="T166" s="14"/>
      <c r="U166" s="14"/>
      <c r="V166" s="14"/>
    </row>
    <row r="167" spans="1:22" x14ac:dyDescent="0.25">
      <c r="A167" s="1" t="s">
        <v>92</v>
      </c>
      <c r="B167" s="9">
        <f>B166*B6</f>
        <v>31182.200000000004</v>
      </c>
      <c r="C167" s="9">
        <f>C166*C6</f>
        <v>17284.68</v>
      </c>
      <c r="D167" s="9">
        <f>D166*D6</f>
        <v>14689.8</v>
      </c>
      <c r="E167" s="9">
        <f>E166*E6</f>
        <v>16428.61</v>
      </c>
      <c r="F167" s="9"/>
      <c r="G167" s="9"/>
      <c r="H167" s="9"/>
      <c r="I167" s="9"/>
      <c r="J167" s="9"/>
      <c r="K167" s="9"/>
      <c r="L167" s="9"/>
      <c r="M167" s="9"/>
      <c r="N167" s="9"/>
      <c r="O167" s="9"/>
      <c r="P167" s="9"/>
      <c r="Q167" s="9"/>
      <c r="R167" s="9"/>
      <c r="S167" s="9"/>
      <c r="T167" s="9"/>
      <c r="U167" s="9"/>
      <c r="V167" s="9"/>
    </row>
    <row r="168" spans="1:22" x14ac:dyDescent="0.25">
      <c r="A168" s="1" t="s">
        <v>93</v>
      </c>
      <c r="B168" s="9">
        <f>B167/B165</f>
        <v>46.679940119760488</v>
      </c>
      <c r="C168" s="9">
        <f t="shared" ref="C168:E168" si="53">C167/C165</f>
        <v>27.177169811320756</v>
      </c>
      <c r="D168" s="9">
        <f t="shared" si="53"/>
        <v>23.885853658536583</v>
      </c>
      <c r="E168" s="9">
        <f t="shared" si="53"/>
        <v>27.704232715008434</v>
      </c>
      <c r="F168" s="9"/>
      <c r="G168" s="9"/>
      <c r="H168" s="9"/>
      <c r="I168" s="9"/>
      <c r="J168" s="9"/>
      <c r="K168" s="9"/>
      <c r="L168" s="9"/>
      <c r="M168" s="9"/>
      <c r="N168" s="9"/>
      <c r="O168" s="9"/>
      <c r="P168" s="9"/>
      <c r="Q168" s="9"/>
      <c r="R168" s="9"/>
      <c r="S168" s="9"/>
      <c r="T168" s="9"/>
      <c r="U168" s="9"/>
      <c r="V168" s="9"/>
    </row>
    <row r="169" spans="1:22" x14ac:dyDescent="0.25">
      <c r="B169" s="9"/>
      <c r="C169" s="9"/>
      <c r="D169" s="9"/>
      <c r="E169" s="9"/>
      <c r="F169" s="9"/>
      <c r="G169" s="9"/>
      <c r="H169" s="9"/>
      <c r="I169" s="9"/>
      <c r="J169" s="9"/>
      <c r="L169" s="9"/>
      <c r="M169" s="9"/>
      <c r="N169" s="9"/>
      <c r="O169" s="9"/>
      <c r="P169" s="9"/>
      <c r="Q169" s="9"/>
      <c r="R169" s="9"/>
      <c r="S169" s="9"/>
      <c r="T169" s="9"/>
      <c r="U169" s="9"/>
      <c r="V169" s="9"/>
    </row>
    <row r="170" spans="1:22" x14ac:dyDescent="0.25">
      <c r="A170" s="39" t="s">
        <v>149</v>
      </c>
      <c r="B170" s="9"/>
      <c r="C170" s="9"/>
      <c r="D170" s="9"/>
      <c r="E170" s="9"/>
      <c r="F170" s="9"/>
      <c r="G170" s="9"/>
      <c r="H170" s="9"/>
      <c r="I170" s="9"/>
      <c r="J170" s="9"/>
      <c r="L170" s="9"/>
      <c r="M170" s="9"/>
      <c r="N170" s="9"/>
      <c r="O170" s="9"/>
      <c r="P170" s="9"/>
      <c r="Q170" s="9"/>
      <c r="R170" s="9"/>
      <c r="S170" s="47"/>
      <c r="T170" s="47"/>
      <c r="U170" s="47"/>
      <c r="V170" s="47"/>
    </row>
    <row r="171" spans="1:22" x14ac:dyDescent="0.25">
      <c r="A171" s="1" t="s">
        <v>141</v>
      </c>
      <c r="B171" s="9">
        <v>54000</v>
      </c>
      <c r="C171" s="9">
        <v>50200</v>
      </c>
      <c r="D171" s="9">
        <v>46800</v>
      </c>
      <c r="E171" s="9">
        <v>42900</v>
      </c>
      <c r="F171" s="9">
        <v>40700</v>
      </c>
      <c r="G171" s="9">
        <v>38600</v>
      </c>
      <c r="H171" s="9">
        <v>36800</v>
      </c>
      <c r="I171" s="9">
        <v>34000</v>
      </c>
      <c r="J171" s="9">
        <v>31600</v>
      </c>
      <c r="K171" s="8">
        <v>28900</v>
      </c>
      <c r="L171" s="9">
        <v>26700</v>
      </c>
      <c r="M171" s="9">
        <v>25000</v>
      </c>
      <c r="N171" s="9">
        <v>22500</v>
      </c>
      <c r="O171" s="9">
        <v>21500</v>
      </c>
      <c r="P171" s="9">
        <v>20200</v>
      </c>
      <c r="Q171" s="9">
        <v>18600</v>
      </c>
      <c r="R171" s="9">
        <v>17338</v>
      </c>
      <c r="S171" s="47"/>
      <c r="T171" s="47"/>
      <c r="U171" s="47"/>
      <c r="V171" s="47"/>
    </row>
    <row r="172" spans="1:22" x14ac:dyDescent="0.25">
      <c r="A172" s="1" t="s">
        <v>142</v>
      </c>
      <c r="B172" s="9">
        <v>11800</v>
      </c>
      <c r="C172" s="9">
        <v>11500</v>
      </c>
      <c r="D172" s="9">
        <v>11300</v>
      </c>
      <c r="E172" s="9">
        <v>11000</v>
      </c>
      <c r="F172" s="9">
        <v>10900</v>
      </c>
      <c r="G172" s="9">
        <v>10800</v>
      </c>
      <c r="H172" s="9">
        <v>10800</v>
      </c>
      <c r="I172" s="9">
        <v>10600</v>
      </c>
      <c r="J172" s="9">
        <v>10400</v>
      </c>
      <c r="K172" s="8">
        <v>10100</v>
      </c>
      <c r="L172" s="9">
        <f>6400+3800</f>
        <v>10200</v>
      </c>
      <c r="M172" s="9">
        <f>6300+4000</f>
        <v>10300</v>
      </c>
      <c r="N172" s="9">
        <f>5800+3300</f>
        <v>9100</v>
      </c>
      <c r="O172" s="9">
        <f>5700+3400</f>
        <v>9100</v>
      </c>
      <c r="P172" s="9">
        <f>5600+3400</f>
        <v>9000</v>
      </c>
      <c r="Q172" s="9">
        <f>5400+3500</f>
        <v>8900</v>
      </c>
      <c r="R172" s="9">
        <v>5214</v>
      </c>
      <c r="S172" s="47"/>
      <c r="T172" s="47"/>
      <c r="U172" s="47"/>
      <c r="V172" s="47"/>
    </row>
    <row r="173" spans="1:22" x14ac:dyDescent="0.25">
      <c r="A173" s="1" t="s">
        <v>143</v>
      </c>
      <c r="B173" s="11">
        <f>SUM(B171:B172)</f>
        <v>65800</v>
      </c>
      <c r="C173" s="11">
        <f t="shared" ref="C173:R173" si="54">SUM(C171:C172)</f>
        <v>61700</v>
      </c>
      <c r="D173" s="11">
        <f t="shared" si="54"/>
        <v>58100</v>
      </c>
      <c r="E173" s="11">
        <f t="shared" si="54"/>
        <v>53900</v>
      </c>
      <c r="F173" s="11">
        <f t="shared" si="54"/>
        <v>51600</v>
      </c>
      <c r="G173" s="11">
        <f t="shared" si="54"/>
        <v>49400</v>
      </c>
      <c r="H173" s="11">
        <f t="shared" si="54"/>
        <v>47600</v>
      </c>
      <c r="I173" s="11">
        <f t="shared" si="54"/>
        <v>44600</v>
      </c>
      <c r="J173" s="11">
        <f t="shared" si="54"/>
        <v>42000</v>
      </c>
      <c r="K173" s="11">
        <f t="shared" si="54"/>
        <v>39000</v>
      </c>
      <c r="L173" s="11">
        <f t="shared" si="54"/>
        <v>36900</v>
      </c>
      <c r="M173" s="11">
        <f t="shared" si="54"/>
        <v>35300</v>
      </c>
      <c r="N173" s="11">
        <f t="shared" si="54"/>
        <v>31600</v>
      </c>
      <c r="O173" s="11">
        <f t="shared" si="54"/>
        <v>30600</v>
      </c>
      <c r="P173" s="11">
        <f t="shared" si="54"/>
        <v>29200</v>
      </c>
      <c r="Q173" s="11">
        <f t="shared" si="54"/>
        <v>27500</v>
      </c>
      <c r="R173" s="11">
        <f t="shared" si="54"/>
        <v>22552</v>
      </c>
      <c r="S173" s="47"/>
      <c r="T173" s="47"/>
      <c r="U173" s="47"/>
      <c r="V173" s="47"/>
    </row>
    <row r="174" spans="1:22" x14ac:dyDescent="0.25">
      <c r="A174" s="1" t="s">
        <v>144</v>
      </c>
      <c r="B174" s="9">
        <v>53100</v>
      </c>
      <c r="C174" s="9">
        <v>49900</v>
      </c>
      <c r="D174" s="9">
        <v>47400</v>
      </c>
      <c r="E174" s="9">
        <v>44600</v>
      </c>
      <c r="F174" s="9">
        <v>42700</v>
      </c>
      <c r="G174" s="9">
        <v>40900</v>
      </c>
      <c r="H174" s="9">
        <v>39100</v>
      </c>
      <c r="I174" s="9">
        <v>36700</v>
      </c>
      <c r="J174" s="9">
        <v>34400</v>
      </c>
      <c r="K174" s="8">
        <v>32200</v>
      </c>
      <c r="L174" s="9">
        <v>30100</v>
      </c>
      <c r="M174" s="9">
        <v>28700</v>
      </c>
      <c r="N174" s="9">
        <v>26400</v>
      </c>
      <c r="O174" s="9">
        <v>25400</v>
      </c>
      <c r="P174" s="9">
        <v>24300</v>
      </c>
      <c r="Q174" s="9">
        <v>22900</v>
      </c>
      <c r="R174" s="9">
        <v>25127</v>
      </c>
      <c r="S174" s="47"/>
      <c r="T174" s="47"/>
      <c r="U174" s="47"/>
      <c r="V174" s="47"/>
    </row>
    <row r="175" spans="1:22" s="6" customFormat="1" ht="20" thickBot="1" x14ac:dyDescent="0.3">
      <c r="A175" s="6" t="s">
        <v>145</v>
      </c>
      <c r="B175" s="10">
        <f>SUM(B173:B174)</f>
        <v>118900</v>
      </c>
      <c r="C175" s="10">
        <f t="shared" ref="C175:R175" si="55">SUM(C173:C174)</f>
        <v>111600</v>
      </c>
      <c r="D175" s="10">
        <f t="shared" si="55"/>
        <v>105500</v>
      </c>
      <c r="E175" s="10">
        <f t="shared" si="55"/>
        <v>98500</v>
      </c>
      <c r="F175" s="10">
        <f t="shared" si="55"/>
        <v>94300</v>
      </c>
      <c r="G175" s="10">
        <f t="shared" si="55"/>
        <v>90300</v>
      </c>
      <c r="H175" s="10">
        <f t="shared" si="55"/>
        <v>86700</v>
      </c>
      <c r="I175" s="10">
        <f t="shared" si="55"/>
        <v>81300</v>
      </c>
      <c r="J175" s="10">
        <f t="shared" si="55"/>
        <v>76400</v>
      </c>
      <c r="K175" s="10">
        <f t="shared" si="55"/>
        <v>71200</v>
      </c>
      <c r="L175" s="10">
        <f t="shared" si="55"/>
        <v>67000</v>
      </c>
      <c r="M175" s="10">
        <f t="shared" si="55"/>
        <v>64000</v>
      </c>
      <c r="N175" s="10">
        <f t="shared" si="55"/>
        <v>58000</v>
      </c>
      <c r="O175" s="10">
        <f t="shared" si="55"/>
        <v>56000</v>
      </c>
      <c r="P175" s="10">
        <f t="shared" si="55"/>
        <v>53500</v>
      </c>
      <c r="Q175" s="10">
        <f t="shared" si="55"/>
        <v>50400</v>
      </c>
      <c r="R175" s="10">
        <f t="shared" si="55"/>
        <v>47679</v>
      </c>
      <c r="S175" s="41"/>
      <c r="T175" s="41"/>
      <c r="U175" s="41"/>
      <c r="V175" s="41"/>
    </row>
    <row r="176" spans="1:22" ht="20" thickTop="1" x14ac:dyDescent="0.25">
      <c r="B176" s="9"/>
      <c r="C176" s="9"/>
      <c r="D176" s="9"/>
      <c r="E176" s="9"/>
      <c r="F176" s="9"/>
      <c r="G176" s="9"/>
      <c r="H176" s="9"/>
      <c r="I176" s="9"/>
      <c r="J176" s="9"/>
      <c r="L176" s="9"/>
      <c r="M176" s="9"/>
      <c r="N176" s="9"/>
      <c r="O176" s="9"/>
      <c r="P176" s="9"/>
      <c r="Q176" s="9"/>
      <c r="R176" s="9"/>
      <c r="S176" s="47"/>
      <c r="T176" s="47"/>
      <c r="U176" s="47"/>
      <c r="V176" s="47"/>
    </row>
    <row r="177" spans="1:22" x14ac:dyDescent="0.25">
      <c r="A177" s="1" t="s">
        <v>150</v>
      </c>
      <c r="B177" s="9">
        <v>29100</v>
      </c>
      <c r="C177" s="9">
        <v>25600</v>
      </c>
      <c r="D177" s="9">
        <v>22600</v>
      </c>
      <c r="E177" s="9">
        <f>E178*E173</f>
        <v>21021</v>
      </c>
      <c r="F177" s="9">
        <f>F178*F173</f>
        <v>19092</v>
      </c>
      <c r="G177" s="9">
        <f>G178*G173</f>
        <v>18772</v>
      </c>
      <c r="H177" s="9">
        <f t="shared" ref="H177:K177" si="56">H178*H173</f>
        <v>18564</v>
      </c>
      <c r="I177" s="9">
        <f t="shared" si="56"/>
        <v>17394</v>
      </c>
      <c r="J177" s="9">
        <f t="shared" si="56"/>
        <v>16380</v>
      </c>
      <c r="K177" s="9">
        <f t="shared" si="56"/>
        <v>14820</v>
      </c>
      <c r="L177" s="9">
        <f t="shared" ref="L177" si="57">L178*L173</f>
        <v>14022</v>
      </c>
      <c r="M177" s="9">
        <f t="shared" ref="M177" si="58">M178*M173</f>
        <v>13414</v>
      </c>
      <c r="N177" s="9">
        <f t="shared" ref="N177" si="59">N178*N173</f>
        <v>11376</v>
      </c>
      <c r="O177" s="9">
        <f t="shared" ref="O177" si="60">O178*O173</f>
        <v>10098</v>
      </c>
      <c r="P177" s="9">
        <f t="shared" ref="P177" si="61">P178*P173</f>
        <v>8760</v>
      </c>
      <c r="Q177" s="9">
        <f t="shared" ref="Q177" si="62">Q178*Q173</f>
        <v>6325</v>
      </c>
      <c r="R177" s="9">
        <f t="shared" ref="R177" si="63">R178*R173</f>
        <v>4510.4000000000005</v>
      </c>
      <c r="S177" s="47"/>
      <c r="T177" s="47"/>
      <c r="U177" s="47"/>
      <c r="V177" s="47"/>
    </row>
    <row r="178" spans="1:22" x14ac:dyDescent="0.25">
      <c r="A178" s="1" t="s">
        <v>151</v>
      </c>
      <c r="B178" s="14">
        <v>0.56999999999999995</v>
      </c>
      <c r="C178" s="14">
        <v>0.55000000000000004</v>
      </c>
      <c r="D178" s="88">
        <v>0.39</v>
      </c>
      <c r="E178" s="88">
        <v>0.39</v>
      </c>
      <c r="F178" s="88">
        <v>0.37</v>
      </c>
      <c r="G178" s="88">
        <v>0.38</v>
      </c>
      <c r="H178" s="88">
        <v>0.39</v>
      </c>
      <c r="I178" s="88">
        <v>0.39</v>
      </c>
      <c r="J178" s="88">
        <v>0.39</v>
      </c>
      <c r="K178" s="88">
        <v>0.38</v>
      </c>
      <c r="L178" s="88">
        <v>0.38</v>
      </c>
      <c r="M178" s="88">
        <v>0.38</v>
      </c>
      <c r="N178" s="88">
        <v>0.36</v>
      </c>
      <c r="O178" s="88">
        <v>0.33</v>
      </c>
      <c r="P178" s="88">
        <v>0.3</v>
      </c>
      <c r="Q178" s="88">
        <v>0.23</v>
      </c>
      <c r="R178" s="88">
        <v>0.2</v>
      </c>
      <c r="S178" s="93"/>
      <c r="T178" s="93"/>
      <c r="U178" s="93"/>
      <c r="V178" s="93"/>
    </row>
    <row r="179" spans="1:22" x14ac:dyDescent="0.25">
      <c r="A179" s="1" t="s">
        <v>152</v>
      </c>
      <c r="B179" s="14">
        <v>0.22</v>
      </c>
      <c r="C179" s="14">
        <v>0.17</v>
      </c>
      <c r="D179" s="88"/>
      <c r="E179" s="88"/>
      <c r="F179" s="88"/>
      <c r="G179" s="88"/>
      <c r="H179" s="88"/>
      <c r="I179" s="88"/>
      <c r="J179" s="88"/>
      <c r="K179" s="88"/>
      <c r="L179" s="88"/>
      <c r="M179" s="88"/>
      <c r="N179" s="88"/>
      <c r="O179" s="88"/>
      <c r="P179" s="88"/>
      <c r="Q179" s="88"/>
      <c r="R179" s="88"/>
      <c r="S179" s="93"/>
      <c r="T179" s="93"/>
      <c r="U179" s="93"/>
      <c r="V179" s="93"/>
    </row>
    <row r="180" spans="1:22" x14ac:dyDescent="0.25">
      <c r="A180" s="1" t="s">
        <v>153</v>
      </c>
      <c r="B180" s="14">
        <v>0.71</v>
      </c>
      <c r="C180" s="14"/>
      <c r="D180" s="14"/>
      <c r="E180" s="14"/>
      <c r="F180" s="14"/>
      <c r="G180" s="14"/>
      <c r="H180" s="14"/>
      <c r="I180" s="14"/>
      <c r="J180" s="14"/>
      <c r="K180" s="30"/>
      <c r="L180" s="14"/>
      <c r="M180" s="14"/>
      <c r="N180" s="14"/>
      <c r="O180" s="14"/>
      <c r="P180" s="14"/>
      <c r="Q180" s="14">
        <v>0.45</v>
      </c>
      <c r="R180" s="14"/>
      <c r="S180" s="48"/>
      <c r="T180" s="48"/>
      <c r="U180" s="48"/>
      <c r="V180" s="48"/>
    </row>
    <row r="181" spans="1:22" x14ac:dyDescent="0.25">
      <c r="B181" s="9"/>
      <c r="C181" s="9"/>
      <c r="D181" s="9"/>
      <c r="E181" s="9"/>
      <c r="F181" s="9"/>
      <c r="G181" s="9"/>
      <c r="H181" s="9"/>
      <c r="I181" s="9"/>
      <c r="J181" s="9"/>
      <c r="L181" s="9"/>
      <c r="M181" s="9"/>
      <c r="N181" s="9"/>
      <c r="O181" s="9"/>
      <c r="P181" s="9"/>
      <c r="Q181" s="9"/>
      <c r="R181" s="9"/>
      <c r="S181" s="47"/>
      <c r="T181" s="47"/>
      <c r="U181" s="47"/>
      <c r="V181" s="47"/>
    </row>
    <row r="182" spans="1:22" s="9" customFormat="1" x14ac:dyDescent="0.25">
      <c r="A182" s="46" t="s">
        <v>146</v>
      </c>
      <c r="B182" s="9">
        <v>60</v>
      </c>
      <c r="C182" s="9">
        <v>60</v>
      </c>
      <c r="D182" s="9">
        <v>60</v>
      </c>
      <c r="E182" s="9">
        <v>60</v>
      </c>
      <c r="F182" s="9">
        <v>60</v>
      </c>
      <c r="G182" s="9">
        <v>60</v>
      </c>
      <c r="H182" s="9">
        <v>55</v>
      </c>
      <c r="I182" s="9">
        <v>55</v>
      </c>
      <c r="J182" s="9">
        <v>55</v>
      </c>
      <c r="K182" s="8">
        <v>55</v>
      </c>
      <c r="L182" s="9">
        <v>55</v>
      </c>
      <c r="M182" s="9">
        <v>50</v>
      </c>
      <c r="N182" s="9">
        <v>50</v>
      </c>
      <c r="O182" s="9">
        <v>50</v>
      </c>
      <c r="P182" s="9">
        <v>50</v>
      </c>
      <c r="Q182" s="9">
        <v>50</v>
      </c>
      <c r="R182" s="9">
        <v>45</v>
      </c>
      <c r="S182" s="47"/>
      <c r="T182" s="47"/>
      <c r="U182" s="47"/>
      <c r="V182" s="47"/>
    </row>
    <row r="183" spans="1:22" x14ac:dyDescent="0.25">
      <c r="A183" s="1" t="s">
        <v>147</v>
      </c>
      <c r="B183" s="17">
        <v>0.93</v>
      </c>
      <c r="C183" s="17">
        <v>0.91</v>
      </c>
      <c r="D183" s="17">
        <v>0.91</v>
      </c>
      <c r="E183" s="17">
        <v>0.91</v>
      </c>
      <c r="F183" s="17">
        <v>0.9</v>
      </c>
      <c r="G183" s="17">
        <v>0.9</v>
      </c>
      <c r="H183" s="17">
        <v>0.9</v>
      </c>
      <c r="I183" s="17">
        <v>0.91</v>
      </c>
      <c r="J183" s="17">
        <v>0.91</v>
      </c>
      <c r="K183" s="45">
        <v>0.9</v>
      </c>
      <c r="L183" s="17">
        <v>0.878</v>
      </c>
      <c r="M183" s="17">
        <v>0.89</v>
      </c>
      <c r="N183" s="17">
        <v>0.88</v>
      </c>
      <c r="O183" s="17">
        <v>0.87</v>
      </c>
      <c r="P183" s="17">
        <v>0.87</v>
      </c>
      <c r="Q183" s="17">
        <v>0.86499999999999999</v>
      </c>
      <c r="R183" s="17">
        <v>0.96</v>
      </c>
      <c r="S183" s="49"/>
      <c r="T183" s="49"/>
      <c r="U183" s="49"/>
      <c r="V183" s="49"/>
    </row>
    <row r="184" spans="1:22" x14ac:dyDescent="0.25">
      <c r="A184" s="1" t="s">
        <v>148</v>
      </c>
      <c r="B184" s="17">
        <v>0.9</v>
      </c>
      <c r="C184" s="17">
        <v>0.89</v>
      </c>
      <c r="D184" s="17">
        <v>0.88</v>
      </c>
      <c r="E184" s="17">
        <v>0.88</v>
      </c>
      <c r="F184" s="17">
        <v>0.88</v>
      </c>
      <c r="G184" s="17">
        <v>0.87</v>
      </c>
      <c r="H184" s="17">
        <v>0.88</v>
      </c>
      <c r="I184" s="17">
        <v>0.88</v>
      </c>
      <c r="J184" s="17">
        <v>0.87</v>
      </c>
      <c r="K184" s="45">
        <v>0.86</v>
      </c>
      <c r="L184" s="17">
        <v>0.86399999999999999</v>
      </c>
      <c r="M184" s="17">
        <v>0.86</v>
      </c>
      <c r="N184" s="17"/>
      <c r="O184" s="17"/>
      <c r="P184" s="17"/>
      <c r="Q184" s="17"/>
      <c r="R184" s="17"/>
      <c r="S184" s="17"/>
      <c r="T184" s="17"/>
      <c r="U184" s="17"/>
      <c r="V184" s="17"/>
    </row>
    <row r="185" spans="1:22" x14ac:dyDescent="0.25">
      <c r="A185" s="22" t="s">
        <v>155</v>
      </c>
      <c r="B185" s="9"/>
      <c r="C185" s="9"/>
      <c r="D185" s="9"/>
      <c r="E185" s="9"/>
      <c r="F185" s="9"/>
      <c r="G185" s="9"/>
      <c r="H185" s="9"/>
      <c r="I185" s="9"/>
      <c r="J185" s="9"/>
      <c r="L185" s="9"/>
      <c r="M185" s="9"/>
      <c r="N185" s="9"/>
      <c r="O185" s="9"/>
      <c r="P185" s="9"/>
      <c r="Q185" s="9"/>
      <c r="R185" s="9"/>
      <c r="S185" s="9"/>
      <c r="T185" s="9"/>
      <c r="U185" s="9"/>
      <c r="V185" s="9"/>
    </row>
    <row r="186" spans="1:22" x14ac:dyDescent="0.25">
      <c r="A186" s="1" t="s">
        <v>154</v>
      </c>
      <c r="B186" s="9"/>
      <c r="C186" s="9"/>
      <c r="D186" s="9"/>
      <c r="E186" s="9"/>
      <c r="F186" s="9"/>
      <c r="G186" s="9"/>
      <c r="H186" s="9"/>
      <c r="I186" s="9"/>
      <c r="J186" s="9"/>
      <c r="L186" s="9"/>
      <c r="M186" s="9"/>
      <c r="N186" s="9"/>
      <c r="O186" s="9"/>
      <c r="P186" s="9"/>
      <c r="Q186" s="9"/>
      <c r="R186" s="9"/>
      <c r="S186" s="9"/>
      <c r="T186" s="9"/>
      <c r="U186" s="9"/>
      <c r="V186" s="9"/>
    </row>
    <row r="187" spans="1:22" x14ac:dyDescent="0.25">
      <c r="A187" s="1" t="s">
        <v>156</v>
      </c>
      <c r="B187" s="51">
        <f t="shared" ref="B187:R187" si="64">(B7*1000)/B173</f>
        <v>64.194528875379945</v>
      </c>
      <c r="C187" s="51">
        <f t="shared" si="64"/>
        <v>62.836304700162074</v>
      </c>
      <c r="D187" s="51">
        <f t="shared" si="64"/>
        <v>60.946643717728058</v>
      </c>
      <c r="E187" s="51">
        <f t="shared" si="64"/>
        <v>62.189239332096477</v>
      </c>
      <c r="F187" s="51">
        <f t="shared" si="64"/>
        <v>60.891472868217058</v>
      </c>
      <c r="G187" s="51">
        <f t="shared" si="64"/>
        <v>57.753036437246962</v>
      </c>
      <c r="H187" s="51">
        <f t="shared" si="64"/>
        <v>55.588235294117645</v>
      </c>
      <c r="I187" s="51">
        <f t="shared" si="64"/>
        <v>56.793721973094172</v>
      </c>
      <c r="J187" s="51">
        <f t="shared" si="64"/>
        <v>57.80952380952381</v>
      </c>
      <c r="K187" s="51">
        <f t="shared" si="64"/>
        <v>58.615384615384613</v>
      </c>
      <c r="L187" s="51">
        <f t="shared" si="64"/>
        <v>56.233062330623305</v>
      </c>
      <c r="M187" s="51">
        <f t="shared" si="64"/>
        <v>52.889518413597735</v>
      </c>
      <c r="N187" s="51">
        <f t="shared" si="64"/>
        <v>53.5126582278481</v>
      </c>
      <c r="O187" s="51">
        <f t="shared" si="64"/>
        <v>50.098039215686278</v>
      </c>
      <c r="P187" s="51">
        <f t="shared" si="64"/>
        <v>51.559452054794519</v>
      </c>
      <c r="Q187" s="51">
        <f t="shared" si="64"/>
        <v>47.72923636363636</v>
      </c>
      <c r="R187" s="51">
        <f t="shared" si="64"/>
        <v>52.680338772614405</v>
      </c>
    </row>
    <row r="189" spans="1:22" x14ac:dyDescent="0.25">
      <c r="A189" s="6" t="s">
        <v>242</v>
      </c>
    </row>
    <row r="190" spans="1:22" x14ac:dyDescent="0.25">
      <c r="A190" s="1" t="s">
        <v>243</v>
      </c>
      <c r="B190" s="14">
        <v>7.0000000000000007E-2</v>
      </c>
      <c r="C190" s="14">
        <v>7.0000000000000007E-2</v>
      </c>
      <c r="D190" s="14">
        <v>0.06</v>
      </c>
      <c r="E190" s="14">
        <v>0.04</v>
      </c>
      <c r="F190" s="14">
        <v>0.04</v>
      </c>
      <c r="G190" s="14">
        <v>0.04</v>
      </c>
      <c r="H190" s="14">
        <v>0.04</v>
      </c>
      <c r="I190" s="14">
        <v>0.03</v>
      </c>
      <c r="J190" s="14">
        <v>0.03</v>
      </c>
      <c r="K190" s="30"/>
      <c r="L190" s="14"/>
      <c r="M190" s="14"/>
      <c r="N190" s="14"/>
      <c r="O190" s="14"/>
      <c r="P190" s="14"/>
      <c r="Q190" s="14"/>
      <c r="R190" s="14"/>
      <c r="S190" s="14"/>
      <c r="T190" s="14"/>
      <c r="U190" s="14"/>
      <c r="V190" s="14"/>
    </row>
    <row r="191" spans="1:22" x14ac:dyDescent="0.25">
      <c r="A191" s="1" t="s">
        <v>218</v>
      </c>
      <c r="B191" s="14">
        <v>0.28000000000000003</v>
      </c>
      <c r="C191" s="14">
        <v>0.28000000000000003</v>
      </c>
      <c r="D191" s="14">
        <v>0.28999999999999998</v>
      </c>
      <c r="E191" s="14">
        <v>0.3</v>
      </c>
      <c r="F191" s="14">
        <v>0.3</v>
      </c>
      <c r="G191" s="14">
        <v>0.3</v>
      </c>
      <c r="H191" s="14">
        <v>0.31</v>
      </c>
      <c r="I191" s="14">
        <v>0.31</v>
      </c>
      <c r="J191" s="14">
        <v>0.32</v>
      </c>
      <c r="K191" s="30"/>
      <c r="L191" s="14"/>
      <c r="M191" s="14"/>
      <c r="N191" s="14"/>
      <c r="O191" s="14"/>
      <c r="P191" s="14"/>
      <c r="Q191" s="14"/>
      <c r="R191" s="14"/>
      <c r="S191" s="14"/>
      <c r="T191" s="14"/>
      <c r="U191" s="14"/>
      <c r="V191" s="14"/>
    </row>
    <row r="193" spans="1:18" x14ac:dyDescent="0.25">
      <c r="A193" s="1" t="s">
        <v>271</v>
      </c>
      <c r="B193" s="9">
        <f t="shared" ref="B193:R193" si="65">(B6/(B173/1000))</f>
        <v>3384.9544072948329</v>
      </c>
      <c r="C193" s="9">
        <f t="shared" si="65"/>
        <v>3112.6742301458671</v>
      </c>
      <c r="D193" s="9">
        <f t="shared" si="65"/>
        <v>2809.2943201376934</v>
      </c>
      <c r="E193" s="9">
        <f t="shared" si="65"/>
        <v>2770.8905380333954</v>
      </c>
      <c r="F193" s="9">
        <f t="shared" si="65"/>
        <v>2682.8294573643411</v>
      </c>
      <c r="G193" s="9">
        <f t="shared" si="65"/>
        <v>2554.089068825911</v>
      </c>
      <c r="H193" s="9">
        <f t="shared" si="65"/>
        <v>2438.5084033613443</v>
      </c>
      <c r="I193" s="9">
        <f t="shared" si="65"/>
        <v>2548.5650224215246</v>
      </c>
      <c r="J193" s="9">
        <f t="shared" si="65"/>
        <v>2624.0952380952381</v>
      </c>
      <c r="K193" s="9">
        <f t="shared" si="65"/>
        <v>2637.6923076923076</v>
      </c>
      <c r="L193" s="9">
        <f t="shared" si="65"/>
        <v>2630.4065040650407</v>
      </c>
      <c r="M193" s="9">
        <f t="shared" si="65"/>
        <v>2465.9490084985837</v>
      </c>
      <c r="N193" s="9">
        <f t="shared" si="65"/>
        <v>2413.1329113924048</v>
      </c>
      <c r="O193" s="9">
        <f t="shared" si="65"/>
        <v>2283.954248366013</v>
      </c>
      <c r="P193" s="9">
        <f t="shared" si="65"/>
        <v>2430.7357534246576</v>
      </c>
      <c r="Q193" s="9">
        <f t="shared" si="65"/>
        <v>2294.0945818181817</v>
      </c>
      <c r="R193" s="9">
        <f t="shared" si="65"/>
        <v>2614.5432777580704</v>
      </c>
    </row>
  </sheetData>
  <mergeCells count="41">
    <mergeCell ref="S178:S179"/>
    <mergeCell ref="T178:T179"/>
    <mergeCell ref="U178:U179"/>
    <mergeCell ref="V178:V179"/>
    <mergeCell ref="N178:N179"/>
    <mergeCell ref="O178:O179"/>
    <mergeCell ref="P178:P179"/>
    <mergeCell ref="Q178:Q179"/>
    <mergeCell ref="R178:R179"/>
    <mergeCell ref="I178:I179"/>
    <mergeCell ref="J178:J179"/>
    <mergeCell ref="K178:K179"/>
    <mergeCell ref="L178:L179"/>
    <mergeCell ref="M178:M179"/>
    <mergeCell ref="D178:D179"/>
    <mergeCell ref="E178:E179"/>
    <mergeCell ref="F178:F179"/>
    <mergeCell ref="G178:G179"/>
    <mergeCell ref="H178:H179"/>
    <mergeCell ref="B81:B82"/>
    <mergeCell ref="C81:C82"/>
    <mergeCell ref="V78:V79"/>
    <mergeCell ref="U78:U79"/>
    <mergeCell ref="B144:H148"/>
    <mergeCell ref="B79:B80"/>
    <mergeCell ref="C79:C80"/>
    <mergeCell ref="D79:D80"/>
    <mergeCell ref="E79:E80"/>
    <mergeCell ref="F79:F80"/>
    <mergeCell ref="B155:H159"/>
    <mergeCell ref="B150:K151"/>
    <mergeCell ref="B161:K162"/>
    <mergeCell ref="N89:V89"/>
    <mergeCell ref="T104:V107"/>
    <mergeCell ref="B3:V3"/>
    <mergeCell ref="L67:L68"/>
    <mergeCell ref="N73:N74"/>
    <mergeCell ref="M73:M74"/>
    <mergeCell ref="L73:L74"/>
    <mergeCell ref="N67:N68"/>
    <mergeCell ref="M67:M68"/>
  </mergeCells>
  <pageMargins left="0.7" right="0.7" top="0.75" bottom="0.75" header="0.3" footer="0.3"/>
  <pageSetup scale="65" fitToHeight="5" orientation="landscape" r:id="rId1"/>
  <ignoredErrors>
    <ignoredError sqref="B114:S114 B120:C120 D120 E120:U120 B134:U134 B135:U135 B136:U136"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99"/>
  <sheetViews>
    <sheetView workbookViewId="0"/>
  </sheetViews>
  <sheetFormatPr baseColWidth="10" defaultColWidth="9.1640625" defaultRowHeight="19" x14ac:dyDescent="0.25"/>
  <cols>
    <col min="1" max="1" width="72" style="1" customWidth="1"/>
    <col min="2" max="13" width="14.1640625" style="1" customWidth="1"/>
    <col min="14" max="16384" width="9.1640625" style="1"/>
  </cols>
  <sheetData>
    <row r="1" spans="1:13" ht="24" x14ac:dyDescent="0.3">
      <c r="A1" s="25" t="s">
        <v>18</v>
      </c>
      <c r="B1" s="6"/>
      <c r="C1" s="6"/>
      <c r="D1" s="6"/>
      <c r="E1" s="6"/>
      <c r="F1" s="6"/>
      <c r="G1" s="6"/>
      <c r="H1" s="6"/>
    </row>
    <row r="2" spans="1:13" x14ac:dyDescent="0.25">
      <c r="A2" s="22" t="s">
        <v>280</v>
      </c>
      <c r="B2" s="22"/>
      <c r="C2" s="22"/>
      <c r="D2" s="22"/>
      <c r="E2" s="22"/>
      <c r="F2" s="22"/>
      <c r="G2" s="22"/>
      <c r="H2" s="22"/>
    </row>
    <row r="3" spans="1:13" x14ac:dyDescent="0.25">
      <c r="A3" s="26"/>
      <c r="B3" s="87" t="s">
        <v>19</v>
      </c>
      <c r="C3" s="87"/>
      <c r="D3" s="87"/>
      <c r="E3" s="87"/>
      <c r="F3" s="87"/>
      <c r="G3" s="87"/>
      <c r="H3" s="87"/>
      <c r="I3" s="87"/>
      <c r="J3" s="87"/>
      <c r="K3" s="87"/>
      <c r="L3" s="87"/>
      <c r="M3" s="94" t="s">
        <v>20</v>
      </c>
    </row>
    <row r="4" spans="1:13" x14ac:dyDescent="0.25">
      <c r="A4" s="23" t="s">
        <v>21</v>
      </c>
      <c r="B4" s="5">
        <v>44801</v>
      </c>
      <c r="C4" s="5">
        <v>44437</v>
      </c>
      <c r="D4" s="5">
        <v>44073</v>
      </c>
      <c r="E4" s="5">
        <v>43709</v>
      </c>
      <c r="F4" s="5">
        <v>43345</v>
      </c>
      <c r="G4" s="5">
        <v>42981</v>
      </c>
      <c r="H4" s="5">
        <v>42610</v>
      </c>
      <c r="I4" s="5">
        <v>42246</v>
      </c>
      <c r="J4" s="5">
        <v>41882</v>
      </c>
      <c r="K4" s="5">
        <v>41518</v>
      </c>
      <c r="L4" s="5">
        <v>41154</v>
      </c>
      <c r="M4" s="95"/>
    </row>
    <row r="5" spans="1:13" x14ac:dyDescent="0.25">
      <c r="A5" s="6" t="s">
        <v>163</v>
      </c>
      <c r="B5" s="9"/>
      <c r="C5" s="9"/>
      <c r="D5" s="9"/>
      <c r="E5" s="9"/>
      <c r="F5" s="9"/>
      <c r="G5" s="9"/>
      <c r="H5" s="9"/>
      <c r="I5" s="9"/>
      <c r="J5" s="9"/>
      <c r="K5" s="9"/>
      <c r="L5" s="9"/>
      <c r="M5" s="52"/>
    </row>
    <row r="6" spans="1:13" x14ac:dyDescent="0.25">
      <c r="A6" s="6" t="s">
        <v>166</v>
      </c>
      <c r="B6" s="7">
        <v>5915</v>
      </c>
      <c r="C6" s="7">
        <v>5079</v>
      </c>
      <c r="D6" s="7">
        <v>4059</v>
      </c>
      <c r="E6" s="7">
        <v>3704</v>
      </c>
      <c r="F6" s="7">
        <v>3179</v>
      </c>
      <c r="G6" s="7">
        <v>2714</v>
      </c>
      <c r="H6" s="7">
        <v>2376</v>
      </c>
      <c r="I6" s="7">
        <v>2409</v>
      </c>
      <c r="J6" s="7">
        <v>2088</v>
      </c>
      <c r="K6" s="7">
        <v>2061</v>
      </c>
      <c r="L6" s="7">
        <v>1767</v>
      </c>
      <c r="M6" s="53">
        <f>SUM(B6:L6)</f>
        <v>35351</v>
      </c>
    </row>
    <row r="7" spans="1:13" x14ac:dyDescent="0.25">
      <c r="A7" s="1" t="s">
        <v>167</v>
      </c>
      <c r="B7" s="9"/>
      <c r="C7" s="9"/>
      <c r="D7" s="9"/>
      <c r="E7" s="9"/>
      <c r="F7" s="9"/>
      <c r="G7" s="9"/>
      <c r="H7" s="9"/>
      <c r="I7" s="9"/>
      <c r="J7" s="9"/>
      <c r="K7" s="9"/>
      <c r="L7" s="9"/>
      <c r="M7" s="52"/>
    </row>
    <row r="8" spans="1:13" x14ac:dyDescent="0.25">
      <c r="A8" s="1" t="s">
        <v>168</v>
      </c>
      <c r="B8" s="9">
        <v>1900</v>
      </c>
      <c r="C8" s="9">
        <v>1781</v>
      </c>
      <c r="D8" s="9">
        <v>1645</v>
      </c>
      <c r="E8" s="9">
        <v>1492</v>
      </c>
      <c r="F8" s="9">
        <v>1437</v>
      </c>
      <c r="G8" s="9">
        <v>1370</v>
      </c>
      <c r="H8" s="9">
        <v>1255</v>
      </c>
      <c r="I8" s="9">
        <v>1127</v>
      </c>
      <c r="J8" s="9">
        <v>1029</v>
      </c>
      <c r="K8" s="9">
        <v>946</v>
      </c>
      <c r="L8" s="9">
        <v>908</v>
      </c>
      <c r="M8" s="52">
        <f t="shared" ref="M8:M17" si="0">SUM(B8:L8)</f>
        <v>14890</v>
      </c>
    </row>
    <row r="9" spans="1:13" x14ac:dyDescent="0.25">
      <c r="A9" s="1" t="s">
        <v>169</v>
      </c>
      <c r="B9" s="9">
        <v>377</v>
      </c>
      <c r="C9" s="9">
        <v>286</v>
      </c>
      <c r="D9" s="9">
        <v>194</v>
      </c>
      <c r="E9" s="9">
        <v>0</v>
      </c>
      <c r="F9" s="9">
        <v>0</v>
      </c>
      <c r="G9" s="9">
        <v>0</v>
      </c>
      <c r="H9" s="9">
        <v>0</v>
      </c>
      <c r="I9" s="9">
        <v>0</v>
      </c>
      <c r="J9" s="9">
        <v>0</v>
      </c>
      <c r="K9" s="9">
        <v>0</v>
      </c>
      <c r="L9" s="9">
        <v>0</v>
      </c>
      <c r="M9" s="52">
        <f t="shared" si="0"/>
        <v>857</v>
      </c>
    </row>
    <row r="10" spans="1:13" x14ac:dyDescent="0.25">
      <c r="A10" s="1" t="s">
        <v>170</v>
      </c>
      <c r="B10" s="9">
        <v>724</v>
      </c>
      <c r="C10" s="9">
        <v>665</v>
      </c>
      <c r="D10" s="9">
        <v>619</v>
      </c>
      <c r="E10" s="9">
        <v>595</v>
      </c>
      <c r="F10" s="9">
        <v>544</v>
      </c>
      <c r="G10" s="9">
        <v>514</v>
      </c>
      <c r="H10" s="9">
        <v>459</v>
      </c>
      <c r="I10" s="9">
        <v>394</v>
      </c>
      <c r="J10" s="9">
        <v>327</v>
      </c>
      <c r="K10" s="9">
        <v>285</v>
      </c>
      <c r="L10" s="9">
        <v>241</v>
      </c>
      <c r="M10" s="52">
        <f t="shared" si="0"/>
        <v>5367</v>
      </c>
    </row>
    <row r="11" spans="1:13" x14ac:dyDescent="0.25">
      <c r="A11" s="1" t="s">
        <v>201</v>
      </c>
      <c r="B11" s="9">
        <v>0</v>
      </c>
      <c r="C11" s="9">
        <v>0</v>
      </c>
      <c r="D11" s="9">
        <v>0</v>
      </c>
      <c r="E11" s="9">
        <v>0</v>
      </c>
      <c r="F11" s="9">
        <v>0</v>
      </c>
      <c r="G11" s="9">
        <v>-38</v>
      </c>
      <c r="H11" s="9">
        <v>-74</v>
      </c>
      <c r="I11" s="9">
        <v>-86</v>
      </c>
      <c r="J11" s="9">
        <v>-84</v>
      </c>
      <c r="K11" s="9">
        <v>-61</v>
      </c>
      <c r="L11" s="9">
        <v>-64</v>
      </c>
      <c r="M11" s="52">
        <f t="shared" si="0"/>
        <v>-407</v>
      </c>
    </row>
    <row r="12" spans="1:13" x14ac:dyDescent="0.25">
      <c r="A12" s="1" t="s">
        <v>171</v>
      </c>
      <c r="B12" s="9">
        <v>76</v>
      </c>
      <c r="C12" s="9">
        <v>85</v>
      </c>
      <c r="D12" s="9">
        <v>42</v>
      </c>
      <c r="E12" s="9">
        <v>9</v>
      </c>
      <c r="F12" s="9">
        <v>-6</v>
      </c>
      <c r="G12" s="9">
        <v>24</v>
      </c>
      <c r="H12" s="9">
        <v>17</v>
      </c>
      <c r="I12" s="9">
        <v>-5</v>
      </c>
      <c r="J12" s="9">
        <v>22</v>
      </c>
      <c r="K12" s="9">
        <v>-7</v>
      </c>
      <c r="L12" s="9">
        <v>28</v>
      </c>
      <c r="M12" s="52">
        <f t="shared" si="0"/>
        <v>285</v>
      </c>
    </row>
    <row r="13" spans="1:13" x14ac:dyDescent="0.25">
      <c r="A13" s="1" t="s">
        <v>172</v>
      </c>
      <c r="B13" s="9">
        <v>-37</v>
      </c>
      <c r="C13" s="9">
        <v>59</v>
      </c>
      <c r="D13" s="9">
        <v>104</v>
      </c>
      <c r="E13" s="9">
        <v>147</v>
      </c>
      <c r="F13" s="9">
        <v>-49</v>
      </c>
      <c r="G13" s="9">
        <v>-29</v>
      </c>
      <c r="H13" s="9">
        <v>269</v>
      </c>
      <c r="I13" s="9">
        <v>-101</v>
      </c>
      <c r="J13" s="9">
        <v>-63</v>
      </c>
      <c r="K13" s="9">
        <v>7</v>
      </c>
      <c r="L13" s="9">
        <v>-3</v>
      </c>
      <c r="M13" s="52">
        <f t="shared" si="0"/>
        <v>304</v>
      </c>
    </row>
    <row r="14" spans="1:13" x14ac:dyDescent="0.25">
      <c r="A14" s="1" t="s">
        <v>173</v>
      </c>
      <c r="B14" s="9"/>
      <c r="C14" s="9"/>
      <c r="D14" s="9"/>
      <c r="E14" s="9"/>
      <c r="F14" s="9"/>
      <c r="G14" s="9"/>
      <c r="H14" s="9"/>
      <c r="I14" s="9"/>
      <c r="J14" s="9"/>
      <c r="K14" s="9"/>
      <c r="L14" s="9"/>
      <c r="M14" s="52">
        <f t="shared" si="0"/>
        <v>0</v>
      </c>
    </row>
    <row r="15" spans="1:13" x14ac:dyDescent="0.25">
      <c r="A15" s="1" t="s">
        <v>174</v>
      </c>
      <c r="B15" s="9">
        <v>-4003</v>
      </c>
      <c r="C15" s="9">
        <v>-1892</v>
      </c>
      <c r="D15" s="9">
        <v>-791</v>
      </c>
      <c r="E15" s="9">
        <v>-536</v>
      </c>
      <c r="F15" s="9">
        <v>-1313</v>
      </c>
      <c r="G15" s="9">
        <v>-894</v>
      </c>
      <c r="H15" s="9">
        <v>-25</v>
      </c>
      <c r="I15" s="9">
        <v>-890</v>
      </c>
      <c r="J15" s="9">
        <v>-563</v>
      </c>
      <c r="K15" s="9">
        <v>-898</v>
      </c>
      <c r="L15" s="9">
        <v>-490</v>
      </c>
      <c r="M15" s="52">
        <f t="shared" si="0"/>
        <v>-12295</v>
      </c>
    </row>
    <row r="16" spans="1:13" x14ac:dyDescent="0.25">
      <c r="A16" s="1" t="s">
        <v>175</v>
      </c>
      <c r="B16" s="9">
        <v>1891</v>
      </c>
      <c r="C16" s="9">
        <v>1838</v>
      </c>
      <c r="D16" s="9">
        <v>2261</v>
      </c>
      <c r="E16" s="9">
        <v>322</v>
      </c>
      <c r="F16" s="9">
        <v>1561</v>
      </c>
      <c r="G16" s="9">
        <v>2258</v>
      </c>
      <c r="H16" s="9">
        <v>-1532</v>
      </c>
      <c r="I16" s="9">
        <v>880</v>
      </c>
      <c r="J16" s="9">
        <v>529</v>
      </c>
      <c r="K16" s="9">
        <v>718</v>
      </c>
      <c r="L16" s="9">
        <v>338</v>
      </c>
      <c r="M16" s="52">
        <f t="shared" si="0"/>
        <v>11064</v>
      </c>
    </row>
    <row r="17" spans="1:13" x14ac:dyDescent="0.25">
      <c r="A17" s="1" t="s">
        <v>176</v>
      </c>
      <c r="B17" s="9">
        <v>549</v>
      </c>
      <c r="C17" s="9">
        <v>1057</v>
      </c>
      <c r="D17" s="9">
        <v>728</v>
      </c>
      <c r="E17" s="9">
        <v>623</v>
      </c>
      <c r="F17" s="9">
        <v>421</v>
      </c>
      <c r="G17" s="9">
        <v>807</v>
      </c>
      <c r="H17" s="9">
        <v>547</v>
      </c>
      <c r="I17" s="9">
        <v>557</v>
      </c>
      <c r="J17" s="9">
        <v>699</v>
      </c>
      <c r="K17" s="9">
        <v>386</v>
      </c>
      <c r="L17" s="9">
        <v>332</v>
      </c>
      <c r="M17" s="52">
        <f t="shared" si="0"/>
        <v>6706</v>
      </c>
    </row>
    <row r="18" spans="1:13" x14ac:dyDescent="0.25">
      <c r="A18" s="6" t="s">
        <v>177</v>
      </c>
      <c r="B18" s="12">
        <f>SUM(B6:B17)</f>
        <v>7392</v>
      </c>
      <c r="C18" s="12">
        <f t="shared" ref="C18:M18" si="1">SUM(C6:C17)</f>
        <v>8958</v>
      </c>
      <c r="D18" s="12">
        <f t="shared" si="1"/>
        <v>8861</v>
      </c>
      <c r="E18" s="12">
        <f t="shared" si="1"/>
        <v>6356</v>
      </c>
      <c r="F18" s="12">
        <f t="shared" si="1"/>
        <v>5774</v>
      </c>
      <c r="G18" s="12">
        <f t="shared" si="1"/>
        <v>6726</v>
      </c>
      <c r="H18" s="12">
        <f t="shared" si="1"/>
        <v>3292</v>
      </c>
      <c r="I18" s="12">
        <f t="shared" si="1"/>
        <v>4285</v>
      </c>
      <c r="J18" s="12">
        <f t="shared" si="1"/>
        <v>3984</v>
      </c>
      <c r="K18" s="12">
        <f t="shared" si="1"/>
        <v>3437</v>
      </c>
      <c r="L18" s="12">
        <f t="shared" si="1"/>
        <v>3057</v>
      </c>
      <c r="M18" s="54">
        <f t="shared" si="1"/>
        <v>62122</v>
      </c>
    </row>
    <row r="19" spans="1:13" x14ac:dyDescent="0.25">
      <c r="A19" s="6" t="s">
        <v>164</v>
      </c>
      <c r="B19" s="9"/>
      <c r="C19" s="9"/>
      <c r="D19" s="9"/>
      <c r="E19" s="9"/>
      <c r="F19" s="9"/>
      <c r="G19" s="9"/>
      <c r="H19" s="9"/>
      <c r="I19" s="9"/>
      <c r="J19" s="9"/>
      <c r="K19" s="9"/>
      <c r="L19" s="9"/>
      <c r="M19" s="52"/>
    </row>
    <row r="20" spans="1:13" x14ac:dyDescent="0.25">
      <c r="A20" s="1" t="s">
        <v>178</v>
      </c>
      <c r="B20" s="9">
        <v>-1121</v>
      </c>
      <c r="C20" s="9">
        <v>-1331</v>
      </c>
      <c r="D20" s="9">
        <v>-1626</v>
      </c>
      <c r="E20" s="9">
        <v>-1094</v>
      </c>
      <c r="F20" s="9">
        <v>-1060</v>
      </c>
      <c r="G20" s="9">
        <v>-1279</v>
      </c>
      <c r="H20" s="9">
        <v>-1432</v>
      </c>
      <c r="I20" s="9">
        <v>-1501</v>
      </c>
      <c r="J20" s="9">
        <v>-2503</v>
      </c>
      <c r="K20" s="9">
        <v>-2572</v>
      </c>
      <c r="L20" s="9">
        <v>-2048</v>
      </c>
      <c r="M20" s="52">
        <f>SUM(B20:L20)</f>
        <v>-17567</v>
      </c>
    </row>
    <row r="21" spans="1:13" x14ac:dyDescent="0.25">
      <c r="A21" s="1" t="s">
        <v>179</v>
      </c>
      <c r="B21" s="9">
        <v>1145</v>
      </c>
      <c r="C21" s="9">
        <v>1446</v>
      </c>
      <c r="D21" s="9">
        <v>1678</v>
      </c>
      <c r="E21" s="9">
        <v>1231</v>
      </c>
      <c r="F21" s="9">
        <v>1078</v>
      </c>
      <c r="G21" s="9">
        <v>1385</v>
      </c>
      <c r="H21" s="9">
        <v>1709</v>
      </c>
      <c r="I21" s="9">
        <v>1434</v>
      </c>
      <c r="J21" s="9">
        <v>2406</v>
      </c>
      <c r="K21" s="9">
        <v>2385</v>
      </c>
      <c r="L21" s="9">
        <v>2303</v>
      </c>
      <c r="M21" s="52">
        <f>SUM(B21:L21)</f>
        <v>18200</v>
      </c>
    </row>
    <row r="22" spans="1:13" x14ac:dyDescent="0.25">
      <c r="A22" s="1" t="s">
        <v>180</v>
      </c>
      <c r="B22" s="9">
        <v>-3891</v>
      </c>
      <c r="C22" s="9">
        <v>-3588</v>
      </c>
      <c r="D22" s="9">
        <v>-2810</v>
      </c>
      <c r="E22" s="9">
        <v>-2998</v>
      </c>
      <c r="F22" s="9">
        <v>-2969</v>
      </c>
      <c r="G22" s="9">
        <v>-2502</v>
      </c>
      <c r="H22" s="9">
        <v>-2649</v>
      </c>
      <c r="I22" s="9">
        <v>-2393</v>
      </c>
      <c r="J22" s="9">
        <v>-1993</v>
      </c>
      <c r="K22" s="9">
        <v>-2083</v>
      </c>
      <c r="L22" s="9">
        <v>-1480</v>
      </c>
      <c r="M22" s="52">
        <f>SUM(B22:L22)</f>
        <v>-29356</v>
      </c>
    </row>
    <row r="23" spans="1:13" x14ac:dyDescent="0.25">
      <c r="A23" s="1" t="s">
        <v>181</v>
      </c>
      <c r="B23" s="9">
        <v>0</v>
      </c>
      <c r="C23" s="9">
        <v>0</v>
      </c>
      <c r="D23" s="9">
        <v>-1163</v>
      </c>
      <c r="E23" s="9">
        <v>0</v>
      </c>
      <c r="F23" s="9">
        <v>0</v>
      </c>
      <c r="G23" s="9">
        <v>0</v>
      </c>
      <c r="H23" s="9">
        <v>0</v>
      </c>
      <c r="I23" s="9">
        <v>0</v>
      </c>
      <c r="J23" s="9">
        <v>0</v>
      </c>
      <c r="K23" s="9">
        <v>0</v>
      </c>
      <c r="L23" s="9">
        <v>0</v>
      </c>
      <c r="M23" s="52">
        <f>SUM(B23:L23)</f>
        <v>-1163</v>
      </c>
    </row>
    <row r="24" spans="1:13" x14ac:dyDescent="0.25">
      <c r="A24" s="1" t="s">
        <v>182</v>
      </c>
      <c r="B24" s="9">
        <v>-48</v>
      </c>
      <c r="C24" s="9">
        <v>-62</v>
      </c>
      <c r="D24" s="9">
        <v>30</v>
      </c>
      <c r="E24" s="9">
        <v>-4</v>
      </c>
      <c r="F24" s="9">
        <v>4</v>
      </c>
      <c r="G24" s="9">
        <v>30</v>
      </c>
      <c r="H24" s="9">
        <v>27</v>
      </c>
      <c r="I24" s="9">
        <v>-20</v>
      </c>
      <c r="J24" s="9">
        <v>-3</v>
      </c>
      <c r="K24" s="9">
        <v>19</v>
      </c>
      <c r="L24" s="9">
        <v>-11</v>
      </c>
      <c r="M24" s="52">
        <f>SUM(B24:L24)</f>
        <v>-38</v>
      </c>
    </row>
    <row r="25" spans="1:13" x14ac:dyDescent="0.25">
      <c r="A25" s="6" t="s">
        <v>183</v>
      </c>
      <c r="B25" s="12">
        <f>SUM(B20:B24)</f>
        <v>-3915</v>
      </c>
      <c r="C25" s="12">
        <f t="shared" ref="C25:M25" si="2">SUM(C20:C24)</f>
        <v>-3535</v>
      </c>
      <c r="D25" s="12">
        <f t="shared" si="2"/>
        <v>-3891</v>
      </c>
      <c r="E25" s="12">
        <f t="shared" si="2"/>
        <v>-2865</v>
      </c>
      <c r="F25" s="12">
        <f t="shared" si="2"/>
        <v>-2947</v>
      </c>
      <c r="G25" s="12">
        <f t="shared" si="2"/>
        <v>-2366</v>
      </c>
      <c r="H25" s="12">
        <f t="shared" si="2"/>
        <v>-2345</v>
      </c>
      <c r="I25" s="12">
        <f t="shared" si="2"/>
        <v>-2480</v>
      </c>
      <c r="J25" s="12">
        <f t="shared" si="2"/>
        <v>-2093</v>
      </c>
      <c r="K25" s="12">
        <f t="shared" si="2"/>
        <v>-2251</v>
      </c>
      <c r="L25" s="12">
        <f t="shared" si="2"/>
        <v>-1236</v>
      </c>
      <c r="M25" s="54">
        <f t="shared" si="2"/>
        <v>-29924</v>
      </c>
    </row>
    <row r="26" spans="1:13" x14ac:dyDescent="0.25">
      <c r="A26" s="6" t="s">
        <v>165</v>
      </c>
      <c r="B26" s="9"/>
      <c r="C26" s="9"/>
      <c r="D26" s="9"/>
      <c r="E26" s="9"/>
      <c r="F26" s="9"/>
      <c r="G26" s="9"/>
      <c r="H26" s="9"/>
      <c r="I26" s="9"/>
      <c r="J26" s="9"/>
      <c r="K26" s="9"/>
      <c r="L26" s="9"/>
      <c r="M26" s="52"/>
    </row>
    <row r="27" spans="1:13" x14ac:dyDescent="0.25">
      <c r="A27" s="1" t="s">
        <v>198</v>
      </c>
      <c r="B27" s="9">
        <v>0</v>
      </c>
      <c r="C27" s="9">
        <v>188</v>
      </c>
      <c r="D27" s="9">
        <v>137</v>
      </c>
      <c r="E27" s="9">
        <v>210</v>
      </c>
      <c r="F27" s="9">
        <v>80</v>
      </c>
      <c r="G27" s="9">
        <v>-236</v>
      </c>
      <c r="H27" s="9">
        <v>81</v>
      </c>
      <c r="I27" s="9">
        <v>-45</v>
      </c>
      <c r="J27" s="9">
        <v>96</v>
      </c>
      <c r="K27" s="9">
        <v>-70</v>
      </c>
      <c r="L27" s="9">
        <v>457</v>
      </c>
      <c r="M27" s="52">
        <f t="shared" ref="M27:M39" si="3">SUM(B27:L27)</f>
        <v>898</v>
      </c>
    </row>
    <row r="28" spans="1:13" x14ac:dyDescent="0.25">
      <c r="A28" s="1" t="s">
        <v>199</v>
      </c>
      <c r="B28" s="9">
        <v>0</v>
      </c>
      <c r="C28" s="9">
        <v>41</v>
      </c>
      <c r="D28" s="9">
        <v>0</v>
      </c>
      <c r="E28" s="9">
        <v>0</v>
      </c>
      <c r="F28" s="9">
        <v>0</v>
      </c>
      <c r="G28" s="9">
        <v>0</v>
      </c>
      <c r="H28" s="9">
        <v>106</v>
      </c>
      <c r="I28" s="9">
        <v>51</v>
      </c>
      <c r="J28" s="9">
        <v>68</v>
      </c>
      <c r="K28" s="9">
        <v>326</v>
      </c>
      <c r="L28" s="9">
        <v>114</v>
      </c>
      <c r="M28" s="52">
        <f t="shared" si="3"/>
        <v>706</v>
      </c>
    </row>
    <row r="29" spans="1:13" x14ac:dyDescent="0.25">
      <c r="A29" s="1" t="s">
        <v>200</v>
      </c>
      <c r="B29" s="9">
        <v>0</v>
      </c>
      <c r="C29" s="9">
        <v>0</v>
      </c>
      <c r="D29" s="9">
        <v>0</v>
      </c>
      <c r="E29" s="9">
        <v>0</v>
      </c>
      <c r="F29" s="9">
        <v>0</v>
      </c>
      <c r="G29" s="9">
        <v>0</v>
      </c>
      <c r="H29" s="9">
        <v>-106</v>
      </c>
      <c r="I29" s="9">
        <v>-51</v>
      </c>
      <c r="J29" s="9">
        <v>-103</v>
      </c>
      <c r="K29" s="9">
        <v>-287</v>
      </c>
      <c r="L29" s="9">
        <v>-114</v>
      </c>
      <c r="M29" s="52">
        <f t="shared" si="3"/>
        <v>-661</v>
      </c>
    </row>
    <row r="30" spans="1:13" x14ac:dyDescent="0.25">
      <c r="A30" s="1" t="s">
        <v>184</v>
      </c>
      <c r="B30" s="9">
        <v>0</v>
      </c>
      <c r="C30" s="9">
        <v>0</v>
      </c>
      <c r="D30" s="9">
        <v>3992</v>
      </c>
      <c r="E30" s="9">
        <v>298</v>
      </c>
      <c r="F30" s="9">
        <v>0</v>
      </c>
      <c r="G30" s="9">
        <v>3782</v>
      </c>
      <c r="H30" s="9">
        <v>185</v>
      </c>
      <c r="I30" s="9">
        <v>1125</v>
      </c>
      <c r="J30" s="9">
        <v>117</v>
      </c>
      <c r="K30" s="9">
        <v>3717</v>
      </c>
      <c r="L30" s="9">
        <v>130</v>
      </c>
      <c r="M30" s="52">
        <f t="shared" si="3"/>
        <v>13346</v>
      </c>
    </row>
    <row r="31" spans="1:13" x14ac:dyDescent="0.25">
      <c r="A31" s="1" t="s">
        <v>185</v>
      </c>
      <c r="B31" s="9">
        <v>-800</v>
      </c>
      <c r="C31" s="9">
        <v>-94</v>
      </c>
      <c r="D31" s="9">
        <v>-3200</v>
      </c>
      <c r="E31" s="9">
        <v>-89</v>
      </c>
      <c r="F31" s="9">
        <v>-86</v>
      </c>
      <c r="G31" s="9">
        <v>-2200</v>
      </c>
      <c r="H31" s="9">
        <v>-1288</v>
      </c>
      <c r="I31" s="9">
        <v>-1</v>
      </c>
      <c r="J31" s="9">
        <v>0</v>
      </c>
      <c r="K31" s="9"/>
      <c r="L31" s="9">
        <v>-900</v>
      </c>
      <c r="M31" s="52">
        <f t="shared" si="3"/>
        <v>-8658</v>
      </c>
    </row>
    <row r="32" spans="1:13" x14ac:dyDescent="0.25">
      <c r="A32" s="1" t="s">
        <v>203</v>
      </c>
      <c r="B32" s="9">
        <v>0</v>
      </c>
      <c r="C32" s="9">
        <v>0</v>
      </c>
      <c r="D32" s="9">
        <v>0</v>
      </c>
      <c r="E32" s="9">
        <v>0</v>
      </c>
      <c r="F32" s="9">
        <v>0</v>
      </c>
      <c r="G32" s="9">
        <v>0</v>
      </c>
      <c r="H32" s="9">
        <v>0</v>
      </c>
      <c r="I32" s="9">
        <v>0</v>
      </c>
      <c r="J32" s="9">
        <v>38</v>
      </c>
      <c r="K32" s="9">
        <v>52</v>
      </c>
      <c r="L32" s="9">
        <v>109</v>
      </c>
      <c r="M32" s="52">
        <f t="shared" si="3"/>
        <v>199</v>
      </c>
    </row>
    <row r="33" spans="1:13" x14ac:dyDescent="0.25">
      <c r="A33" s="1" t="s">
        <v>186</v>
      </c>
      <c r="B33" s="9">
        <v>-363</v>
      </c>
      <c r="C33" s="9">
        <v>-312</v>
      </c>
      <c r="D33" s="9">
        <v>-330</v>
      </c>
      <c r="E33" s="9">
        <v>-272</v>
      </c>
      <c r="F33" s="9">
        <v>-217</v>
      </c>
      <c r="G33" s="9">
        <v>-202</v>
      </c>
      <c r="H33" s="9">
        <v>-220</v>
      </c>
      <c r="I33" s="9">
        <v>-178</v>
      </c>
      <c r="J33" s="9">
        <v>-164</v>
      </c>
      <c r="K33" s="9">
        <v>-121</v>
      </c>
      <c r="L33" s="9">
        <v>-107</v>
      </c>
      <c r="M33" s="52">
        <f t="shared" si="3"/>
        <v>-2486</v>
      </c>
    </row>
    <row r="34" spans="1:13" x14ac:dyDescent="0.25">
      <c r="A34" s="1" t="s">
        <v>202</v>
      </c>
      <c r="B34" s="9">
        <v>0</v>
      </c>
      <c r="C34" s="9">
        <v>0</v>
      </c>
      <c r="D34" s="9">
        <v>0</v>
      </c>
      <c r="E34" s="9">
        <v>0</v>
      </c>
      <c r="F34" s="9">
        <v>0</v>
      </c>
      <c r="G34" s="9">
        <v>38</v>
      </c>
      <c r="H34" s="9">
        <v>74</v>
      </c>
      <c r="I34" s="9">
        <v>86</v>
      </c>
      <c r="J34" s="9">
        <v>84</v>
      </c>
      <c r="K34" s="9">
        <v>61</v>
      </c>
      <c r="L34" s="9">
        <v>64</v>
      </c>
      <c r="M34" s="52">
        <f t="shared" si="3"/>
        <v>407</v>
      </c>
    </row>
    <row r="35" spans="1:13" x14ac:dyDescent="0.25">
      <c r="A35" s="1" t="s">
        <v>187</v>
      </c>
      <c r="B35" s="9">
        <v>-439</v>
      </c>
      <c r="C35" s="9">
        <v>-496</v>
      </c>
      <c r="D35" s="9">
        <v>-196</v>
      </c>
      <c r="E35" s="9">
        <v>-247</v>
      </c>
      <c r="F35" s="9">
        <v>-328</v>
      </c>
      <c r="G35" s="9">
        <v>-469</v>
      </c>
      <c r="H35" s="9">
        <v>-486</v>
      </c>
      <c r="I35" s="9">
        <v>-481</v>
      </c>
      <c r="J35" s="9">
        <v>-334</v>
      </c>
      <c r="K35" s="9">
        <v>-36</v>
      </c>
      <c r="L35" s="9">
        <v>-632</v>
      </c>
      <c r="M35" s="52">
        <f t="shared" si="3"/>
        <v>-4144</v>
      </c>
    </row>
    <row r="36" spans="1:13" x14ac:dyDescent="0.25">
      <c r="A36" s="1" t="s">
        <v>188</v>
      </c>
      <c r="B36" s="9">
        <v>-1498</v>
      </c>
      <c r="C36" s="9">
        <v>-5748</v>
      </c>
      <c r="D36" s="9">
        <v>-1479</v>
      </c>
      <c r="E36" s="9">
        <v>-1038</v>
      </c>
      <c r="F36" s="9">
        <v>-689</v>
      </c>
      <c r="G36" s="9">
        <v>-3904</v>
      </c>
      <c r="H36" s="9">
        <v>-746</v>
      </c>
      <c r="I36" s="9">
        <v>-2865</v>
      </c>
      <c r="J36" s="9">
        <v>-584</v>
      </c>
      <c r="K36" s="9">
        <v>-3560</v>
      </c>
      <c r="L36" s="9">
        <v>-446</v>
      </c>
      <c r="M36" s="52">
        <f t="shared" si="3"/>
        <v>-22557</v>
      </c>
    </row>
    <row r="37" spans="1:13" x14ac:dyDescent="0.25">
      <c r="A37" s="1" t="s">
        <v>189</v>
      </c>
      <c r="B37" s="9">
        <v>-208</v>
      </c>
      <c r="C37" s="9">
        <v>0</v>
      </c>
      <c r="D37" s="9">
        <v>0</v>
      </c>
      <c r="E37" s="9">
        <v>0</v>
      </c>
      <c r="F37" s="9">
        <v>0</v>
      </c>
      <c r="G37" s="9">
        <v>0</v>
      </c>
      <c r="H37" s="9">
        <v>0</v>
      </c>
      <c r="I37" s="9">
        <v>0</v>
      </c>
      <c r="J37" s="9">
        <v>0</v>
      </c>
      <c r="K37" s="9">
        <v>-22</v>
      </c>
      <c r="L37" s="9">
        <v>-161</v>
      </c>
      <c r="M37" s="52">
        <f t="shared" si="3"/>
        <v>-391</v>
      </c>
    </row>
    <row r="38" spans="1:13" x14ac:dyDescent="0.25">
      <c r="A38" s="1" t="s">
        <v>190</v>
      </c>
      <c r="B38" s="9">
        <v>-842</v>
      </c>
      <c r="C38" s="9">
        <v>0</v>
      </c>
      <c r="D38" s="9">
        <v>0</v>
      </c>
      <c r="E38" s="9">
        <v>0</v>
      </c>
      <c r="F38" s="9">
        <v>0</v>
      </c>
      <c r="G38" s="9">
        <v>0</v>
      </c>
      <c r="H38" s="9">
        <v>0</v>
      </c>
      <c r="I38" s="9">
        <v>0</v>
      </c>
      <c r="J38" s="9">
        <v>0</v>
      </c>
      <c r="K38" s="9">
        <v>0</v>
      </c>
      <c r="L38" s="9">
        <v>-789</v>
      </c>
      <c r="M38" s="52">
        <f t="shared" si="3"/>
        <v>-1631</v>
      </c>
    </row>
    <row r="39" spans="1:13" x14ac:dyDescent="0.25">
      <c r="A39" s="1" t="s">
        <v>191</v>
      </c>
      <c r="B39" s="9">
        <v>-133</v>
      </c>
      <c r="C39" s="9">
        <v>-67</v>
      </c>
      <c r="D39" s="9">
        <v>-71</v>
      </c>
      <c r="E39" s="9">
        <v>-9</v>
      </c>
      <c r="F39" s="9">
        <v>-41</v>
      </c>
      <c r="G39" s="9">
        <v>-27</v>
      </c>
      <c r="H39" s="9">
        <v>-19</v>
      </c>
      <c r="I39" s="9">
        <v>35</v>
      </c>
      <c r="J39" s="9">
        <v>-4</v>
      </c>
      <c r="K39" s="9">
        <v>-16</v>
      </c>
      <c r="L39" s="9">
        <v>-6</v>
      </c>
      <c r="M39" s="52">
        <f t="shared" si="3"/>
        <v>-358</v>
      </c>
    </row>
    <row r="40" spans="1:13" x14ac:dyDescent="0.25">
      <c r="A40" s="1" t="s">
        <v>192</v>
      </c>
      <c r="B40" s="12">
        <f>SUM(B27:B39)</f>
        <v>-4283</v>
      </c>
      <c r="C40" s="12">
        <f t="shared" ref="C40:M40" si="4">SUM(C27:C39)</f>
        <v>-6488</v>
      </c>
      <c r="D40" s="12">
        <f t="shared" si="4"/>
        <v>-1147</v>
      </c>
      <c r="E40" s="12">
        <f t="shared" si="4"/>
        <v>-1147</v>
      </c>
      <c r="F40" s="12">
        <f t="shared" si="4"/>
        <v>-1281</v>
      </c>
      <c r="G40" s="12">
        <f t="shared" si="4"/>
        <v>-3218</v>
      </c>
      <c r="H40" s="12">
        <f t="shared" si="4"/>
        <v>-2419</v>
      </c>
      <c r="I40" s="12">
        <f t="shared" si="4"/>
        <v>-2324</v>
      </c>
      <c r="J40" s="12">
        <f t="shared" si="4"/>
        <v>-786</v>
      </c>
      <c r="K40" s="12">
        <f t="shared" si="4"/>
        <v>44</v>
      </c>
      <c r="L40" s="12">
        <f t="shared" si="4"/>
        <v>-2281</v>
      </c>
      <c r="M40" s="54">
        <f t="shared" si="4"/>
        <v>-25330</v>
      </c>
    </row>
    <row r="41" spans="1:13" x14ac:dyDescent="0.25">
      <c r="A41" s="1" t="s">
        <v>193</v>
      </c>
      <c r="B41" s="9">
        <v>-249</v>
      </c>
      <c r="C41" s="9">
        <v>46</v>
      </c>
      <c r="D41" s="9">
        <v>70</v>
      </c>
      <c r="E41" s="9">
        <v>-15</v>
      </c>
      <c r="F41" s="9">
        <v>-37</v>
      </c>
      <c r="G41" s="9">
        <v>25</v>
      </c>
      <c r="H41" s="9">
        <v>50</v>
      </c>
      <c r="I41" s="9">
        <v>-418</v>
      </c>
      <c r="J41" s="9">
        <v>-11</v>
      </c>
      <c r="K41" s="9">
        <v>-114</v>
      </c>
      <c r="L41" s="9">
        <v>-21</v>
      </c>
      <c r="M41" s="52">
        <f>SUM(B41:L41)</f>
        <v>-674</v>
      </c>
    </row>
    <row r="42" spans="1:13" x14ac:dyDescent="0.25">
      <c r="A42" s="1" t="s">
        <v>194</v>
      </c>
      <c r="B42" s="11">
        <f>B18+B25+B40+B41</f>
        <v>-1055</v>
      </c>
      <c r="C42" s="11">
        <f t="shared" ref="C42:M42" si="5">C18+C25+C40+C41</f>
        <v>-1019</v>
      </c>
      <c r="D42" s="11">
        <f t="shared" si="5"/>
        <v>3893</v>
      </c>
      <c r="E42" s="11">
        <f t="shared" si="5"/>
        <v>2329</v>
      </c>
      <c r="F42" s="11">
        <f t="shared" si="5"/>
        <v>1509</v>
      </c>
      <c r="G42" s="11">
        <f t="shared" si="5"/>
        <v>1167</v>
      </c>
      <c r="H42" s="11">
        <f t="shared" si="5"/>
        <v>-1422</v>
      </c>
      <c r="I42" s="11">
        <f t="shared" si="5"/>
        <v>-937</v>
      </c>
      <c r="J42" s="11">
        <f t="shared" si="5"/>
        <v>1094</v>
      </c>
      <c r="K42" s="11">
        <f t="shared" si="5"/>
        <v>1116</v>
      </c>
      <c r="L42" s="11">
        <f t="shared" si="5"/>
        <v>-481</v>
      </c>
      <c r="M42" s="55">
        <f t="shared" si="5"/>
        <v>6194</v>
      </c>
    </row>
    <row r="43" spans="1:13" x14ac:dyDescent="0.25">
      <c r="A43" s="1" t="s">
        <v>195</v>
      </c>
      <c r="B43" s="9">
        <v>11258</v>
      </c>
      <c r="C43" s="9">
        <v>12277</v>
      </c>
      <c r="D43" s="9">
        <v>8384</v>
      </c>
      <c r="E43" s="9">
        <v>6055</v>
      </c>
      <c r="F43" s="9">
        <v>4546</v>
      </c>
      <c r="G43" s="9">
        <v>3379</v>
      </c>
      <c r="H43" s="9">
        <v>4801</v>
      </c>
      <c r="I43" s="9">
        <v>5738</v>
      </c>
      <c r="J43" s="9">
        <v>4644</v>
      </c>
      <c r="K43" s="9">
        <v>3528</v>
      </c>
      <c r="L43" s="9">
        <v>4009</v>
      </c>
      <c r="M43" s="52">
        <v>4009</v>
      </c>
    </row>
    <row r="44" spans="1:13" ht="20" thickBot="1" x14ac:dyDescent="0.3">
      <c r="A44" s="6" t="s">
        <v>196</v>
      </c>
      <c r="B44" s="10">
        <f>SUM(B42:B43)</f>
        <v>10203</v>
      </c>
      <c r="C44" s="10">
        <f t="shared" ref="C44:M44" si="6">SUM(C42:C43)</f>
        <v>11258</v>
      </c>
      <c r="D44" s="10">
        <f t="shared" si="6"/>
        <v>12277</v>
      </c>
      <c r="E44" s="10">
        <f t="shared" si="6"/>
        <v>8384</v>
      </c>
      <c r="F44" s="10">
        <f t="shared" si="6"/>
        <v>6055</v>
      </c>
      <c r="G44" s="10">
        <f t="shared" si="6"/>
        <v>4546</v>
      </c>
      <c r="H44" s="10">
        <f t="shared" si="6"/>
        <v>3379</v>
      </c>
      <c r="I44" s="10">
        <f t="shared" si="6"/>
        <v>4801</v>
      </c>
      <c r="J44" s="10">
        <f t="shared" si="6"/>
        <v>5738</v>
      </c>
      <c r="K44" s="10">
        <f t="shared" si="6"/>
        <v>4644</v>
      </c>
      <c r="L44" s="10">
        <f t="shared" si="6"/>
        <v>3528</v>
      </c>
      <c r="M44" s="56">
        <f t="shared" si="6"/>
        <v>10203</v>
      </c>
    </row>
    <row r="45" spans="1:13" ht="20" thickTop="1" x14ac:dyDescent="0.25">
      <c r="A45" s="22" t="s">
        <v>197</v>
      </c>
      <c r="B45" s="9"/>
      <c r="C45" s="9"/>
      <c r="D45" s="9"/>
      <c r="E45" s="9"/>
      <c r="F45" s="9"/>
      <c r="G45" s="9"/>
      <c r="H45" s="9"/>
      <c r="I45" s="9"/>
      <c r="J45" s="9"/>
      <c r="K45" s="9"/>
      <c r="L45" s="57"/>
      <c r="M45" s="9"/>
    </row>
    <row r="46" spans="1:13" x14ac:dyDescent="0.25">
      <c r="B46" s="9"/>
      <c r="C46" s="9"/>
      <c r="D46" s="9"/>
      <c r="E46" s="9"/>
      <c r="F46" s="9"/>
      <c r="G46" s="9"/>
      <c r="H46" s="9"/>
      <c r="I46" s="9"/>
      <c r="J46" s="9"/>
      <c r="K46" s="9"/>
      <c r="L46" s="58"/>
      <c r="M46" s="9"/>
    </row>
    <row r="47" spans="1:13" x14ac:dyDescent="0.25">
      <c r="A47" s="1" t="s">
        <v>204</v>
      </c>
      <c r="B47" s="9">
        <f>B18</f>
        <v>7392</v>
      </c>
      <c r="C47" s="9">
        <f t="shared" ref="C47:L47" si="7">C18</f>
        <v>8958</v>
      </c>
      <c r="D47" s="9">
        <f t="shared" si="7"/>
        <v>8861</v>
      </c>
      <c r="E47" s="9">
        <f t="shared" si="7"/>
        <v>6356</v>
      </c>
      <c r="F47" s="9">
        <f t="shared" si="7"/>
        <v>5774</v>
      </c>
      <c r="G47" s="9">
        <f t="shared" si="7"/>
        <v>6726</v>
      </c>
      <c r="H47" s="9">
        <f t="shared" si="7"/>
        <v>3292</v>
      </c>
      <c r="I47" s="9">
        <f t="shared" si="7"/>
        <v>4285</v>
      </c>
      <c r="J47" s="9">
        <f t="shared" si="7"/>
        <v>3984</v>
      </c>
      <c r="K47" s="9">
        <f t="shared" si="7"/>
        <v>3437</v>
      </c>
      <c r="L47" s="58">
        <f t="shared" si="7"/>
        <v>3057</v>
      </c>
      <c r="M47" s="47">
        <f>SUM(B47:L47)</f>
        <v>62122</v>
      </c>
    </row>
    <row r="48" spans="1:13" x14ac:dyDescent="0.25">
      <c r="A48" s="1" t="s">
        <v>206</v>
      </c>
      <c r="B48" s="9">
        <f>B22</f>
        <v>-3891</v>
      </c>
      <c r="C48" s="9">
        <f t="shared" ref="C48:L48" si="8">C22</f>
        <v>-3588</v>
      </c>
      <c r="D48" s="9">
        <f t="shared" si="8"/>
        <v>-2810</v>
      </c>
      <c r="E48" s="9">
        <f t="shared" si="8"/>
        <v>-2998</v>
      </c>
      <c r="F48" s="9">
        <f t="shared" si="8"/>
        <v>-2969</v>
      </c>
      <c r="G48" s="9">
        <f t="shared" si="8"/>
        <v>-2502</v>
      </c>
      <c r="H48" s="9">
        <f t="shared" si="8"/>
        <v>-2649</v>
      </c>
      <c r="I48" s="9">
        <f t="shared" si="8"/>
        <v>-2393</v>
      </c>
      <c r="J48" s="9">
        <f t="shared" si="8"/>
        <v>-1993</v>
      </c>
      <c r="K48" s="9">
        <f t="shared" si="8"/>
        <v>-2083</v>
      </c>
      <c r="L48" s="58">
        <f t="shared" si="8"/>
        <v>-1480</v>
      </c>
      <c r="M48" s="47">
        <f>SUM(B48:L48)</f>
        <v>-29356</v>
      </c>
    </row>
    <row r="49" spans="1:13" ht="20" thickBot="1" x14ac:dyDescent="0.3">
      <c r="A49" s="6" t="s">
        <v>205</v>
      </c>
      <c r="B49" s="10">
        <f>SUM(B47:B48)</f>
        <v>3501</v>
      </c>
      <c r="C49" s="10">
        <f t="shared" ref="C49:M49" si="9">SUM(C47:C48)</f>
        <v>5370</v>
      </c>
      <c r="D49" s="10">
        <f t="shared" si="9"/>
        <v>6051</v>
      </c>
      <c r="E49" s="10">
        <f t="shared" si="9"/>
        <v>3358</v>
      </c>
      <c r="F49" s="10">
        <f t="shared" si="9"/>
        <v>2805</v>
      </c>
      <c r="G49" s="10">
        <f t="shared" si="9"/>
        <v>4224</v>
      </c>
      <c r="H49" s="10">
        <f t="shared" si="9"/>
        <v>643</v>
      </c>
      <c r="I49" s="10">
        <f t="shared" si="9"/>
        <v>1892</v>
      </c>
      <c r="J49" s="10">
        <f t="shared" si="9"/>
        <v>1991</v>
      </c>
      <c r="K49" s="10">
        <f t="shared" si="9"/>
        <v>1354</v>
      </c>
      <c r="L49" s="59">
        <f t="shared" si="9"/>
        <v>1577</v>
      </c>
      <c r="M49" s="10">
        <f t="shared" si="9"/>
        <v>32766</v>
      </c>
    </row>
    <row r="50" spans="1:13" ht="20" thickTop="1" x14ac:dyDescent="0.25">
      <c r="B50" s="9"/>
      <c r="C50" s="9"/>
      <c r="D50" s="9"/>
      <c r="E50" s="9"/>
      <c r="F50" s="9"/>
      <c r="G50" s="9"/>
      <c r="H50" s="9"/>
      <c r="I50" s="9"/>
      <c r="J50" s="9"/>
      <c r="K50" s="9"/>
      <c r="L50" s="57"/>
      <c r="M50" s="9"/>
    </row>
    <row r="51" spans="1:13" x14ac:dyDescent="0.25">
      <c r="A51" s="22" t="s">
        <v>207</v>
      </c>
      <c r="B51" s="27">
        <f>B49/B6</f>
        <v>0.59188503803888415</v>
      </c>
      <c r="C51" s="27">
        <f t="shared" ref="C51:M51" si="10">C49/C6</f>
        <v>1.0572947430596573</v>
      </c>
      <c r="D51" s="27">
        <f t="shared" si="10"/>
        <v>1.4907612712490761</v>
      </c>
      <c r="E51" s="27">
        <f t="shared" si="10"/>
        <v>0.9065874730021598</v>
      </c>
      <c r="F51" s="27">
        <f t="shared" si="10"/>
        <v>0.88235294117647056</v>
      </c>
      <c r="G51" s="27">
        <f t="shared" si="10"/>
        <v>1.5563743551952838</v>
      </c>
      <c r="H51" s="27">
        <f t="shared" si="10"/>
        <v>0.2706228956228956</v>
      </c>
      <c r="I51" s="27">
        <f t="shared" si="10"/>
        <v>0.78538812785388123</v>
      </c>
      <c r="J51" s="27">
        <f t="shared" si="10"/>
        <v>0.95354406130268199</v>
      </c>
      <c r="K51" s="27">
        <f t="shared" si="10"/>
        <v>0.65696263949539058</v>
      </c>
      <c r="L51" s="60">
        <f t="shared" si="10"/>
        <v>0.89247311827956988</v>
      </c>
      <c r="M51" s="27">
        <f t="shared" si="10"/>
        <v>0.92687618454923482</v>
      </c>
    </row>
    <row r="52" spans="1:13" x14ac:dyDescent="0.25">
      <c r="B52" s="9"/>
      <c r="C52" s="9"/>
      <c r="D52" s="9"/>
      <c r="E52" s="9"/>
      <c r="F52" s="9"/>
      <c r="G52" s="9"/>
      <c r="H52" s="9"/>
      <c r="I52" s="9"/>
      <c r="J52" s="9"/>
      <c r="K52" s="9"/>
      <c r="L52" s="9"/>
      <c r="M52" s="9"/>
    </row>
    <row r="53" spans="1:13" x14ac:dyDescent="0.25">
      <c r="A53" s="39" t="s">
        <v>209</v>
      </c>
      <c r="B53" s="61" t="s">
        <v>208</v>
      </c>
      <c r="C53" s="9"/>
      <c r="D53" s="9"/>
      <c r="E53" s="9"/>
      <c r="F53" s="9"/>
      <c r="G53" s="9"/>
      <c r="H53" s="9"/>
      <c r="I53" s="9"/>
      <c r="J53" s="9"/>
      <c r="K53" s="9"/>
      <c r="L53" s="9"/>
      <c r="M53" s="9"/>
    </row>
    <row r="54" spans="1:13" x14ac:dyDescent="0.25">
      <c r="A54" s="6" t="s">
        <v>210</v>
      </c>
      <c r="B54" s="62"/>
      <c r="C54" s="9"/>
      <c r="D54" s="9"/>
      <c r="E54" s="9"/>
      <c r="F54" s="9"/>
      <c r="G54" s="9"/>
      <c r="H54" s="9"/>
      <c r="I54" s="9"/>
      <c r="J54" s="9"/>
      <c r="K54" s="9"/>
      <c r="L54" s="9"/>
      <c r="M54" s="9"/>
    </row>
    <row r="55" spans="1:13" x14ac:dyDescent="0.25">
      <c r="A55" s="1" t="s">
        <v>211</v>
      </c>
      <c r="B55" s="9">
        <f>M49</f>
        <v>32766</v>
      </c>
      <c r="C55" s="9"/>
      <c r="D55" s="9"/>
      <c r="E55" s="9"/>
      <c r="F55" s="9"/>
      <c r="G55" s="9"/>
      <c r="H55" s="9"/>
      <c r="I55" s="9"/>
      <c r="J55" s="9"/>
      <c r="K55" s="9"/>
      <c r="L55" s="9"/>
      <c r="M55" s="9"/>
    </row>
    <row r="56" spans="1:13" x14ac:dyDescent="0.25">
      <c r="A56" s="1" t="s">
        <v>212</v>
      </c>
      <c r="B56" s="9">
        <f>SUM(M27:M31)</f>
        <v>5631</v>
      </c>
      <c r="C56" s="9"/>
      <c r="D56" s="9"/>
      <c r="E56" s="9"/>
      <c r="F56" s="9"/>
      <c r="G56" s="9"/>
      <c r="H56" s="9"/>
      <c r="I56" s="9"/>
      <c r="J56" s="9"/>
      <c r="K56" s="9"/>
      <c r="L56" s="9"/>
      <c r="M56" s="9"/>
    </row>
    <row r="57" spans="1:13" ht="20" thickBot="1" x14ac:dyDescent="0.3">
      <c r="A57" s="6" t="s">
        <v>80</v>
      </c>
      <c r="B57" s="10">
        <f>SUM(B55:B56)</f>
        <v>38397</v>
      </c>
      <c r="C57" s="9"/>
      <c r="D57" s="9"/>
      <c r="E57" s="9"/>
      <c r="F57" s="9"/>
      <c r="G57" s="9"/>
      <c r="H57" s="9"/>
      <c r="I57" s="9"/>
      <c r="J57" s="9"/>
      <c r="K57" s="9"/>
      <c r="L57" s="9"/>
      <c r="M57" s="9"/>
    </row>
    <row r="58" spans="1:13" ht="20" thickTop="1" x14ac:dyDescent="0.25">
      <c r="A58" s="6" t="s">
        <v>213</v>
      </c>
      <c r="B58" s="9"/>
      <c r="C58" s="9"/>
      <c r="D58" s="9"/>
      <c r="E58" s="9"/>
      <c r="F58" s="9"/>
      <c r="G58" s="9"/>
      <c r="H58" s="9"/>
      <c r="I58" s="9"/>
      <c r="J58" s="9"/>
      <c r="K58" s="9"/>
      <c r="L58" s="9"/>
      <c r="M58" s="9"/>
    </row>
    <row r="59" spans="1:13" x14ac:dyDescent="0.25">
      <c r="A59" s="1" t="s">
        <v>214</v>
      </c>
      <c r="B59" s="9">
        <f>M35</f>
        <v>-4144</v>
      </c>
      <c r="C59" s="9"/>
      <c r="D59" s="9"/>
      <c r="E59" s="9"/>
      <c r="F59" s="9"/>
      <c r="G59" s="9"/>
      <c r="H59" s="9"/>
      <c r="I59" s="9"/>
      <c r="J59" s="9"/>
      <c r="K59" s="9"/>
      <c r="L59" s="9"/>
      <c r="M59" s="9"/>
    </row>
    <row r="60" spans="1:13" x14ac:dyDescent="0.25">
      <c r="A60" s="1" t="s">
        <v>215</v>
      </c>
      <c r="B60" s="9">
        <f>M36</f>
        <v>-22557</v>
      </c>
      <c r="C60" s="9"/>
      <c r="D60" s="9"/>
      <c r="E60" s="9"/>
      <c r="F60" s="9"/>
      <c r="G60" s="9"/>
      <c r="H60" s="9"/>
      <c r="I60" s="9"/>
      <c r="J60" s="9"/>
      <c r="K60" s="9"/>
      <c r="L60" s="9"/>
      <c r="M60" s="9"/>
    </row>
    <row r="61" spans="1:13" x14ac:dyDescent="0.25">
      <c r="A61" s="1" t="s">
        <v>216</v>
      </c>
      <c r="B61" s="9">
        <f>M38+M23</f>
        <v>-2794</v>
      </c>
      <c r="C61" s="9"/>
      <c r="D61" s="9"/>
      <c r="E61" s="9"/>
      <c r="F61" s="9"/>
      <c r="G61" s="9"/>
      <c r="H61" s="9"/>
      <c r="I61" s="9"/>
      <c r="J61" s="9"/>
      <c r="K61" s="9"/>
      <c r="L61" s="9"/>
      <c r="M61" s="9"/>
    </row>
    <row r="62" spans="1:13" x14ac:dyDescent="0.25">
      <c r="A62" s="1" t="s">
        <v>217</v>
      </c>
      <c r="B62" s="9">
        <f>M32+M33+M34</f>
        <v>-1880</v>
      </c>
      <c r="C62" s="9"/>
      <c r="D62" s="9"/>
      <c r="E62" s="9"/>
      <c r="F62" s="9"/>
      <c r="G62" s="9"/>
      <c r="H62" s="9"/>
      <c r="I62" s="9"/>
      <c r="J62" s="9"/>
      <c r="K62" s="9"/>
      <c r="L62" s="9"/>
      <c r="M62" s="9"/>
    </row>
    <row r="63" spans="1:13" ht="20" thickBot="1" x14ac:dyDescent="0.3">
      <c r="A63" s="6" t="s">
        <v>80</v>
      </c>
      <c r="B63" s="10">
        <f>SUM(B59:B62)</f>
        <v>-31375</v>
      </c>
      <c r="C63" s="9"/>
      <c r="D63" s="9"/>
      <c r="E63" s="9"/>
      <c r="F63" s="9"/>
      <c r="G63" s="9"/>
      <c r="H63" s="9"/>
      <c r="I63" s="9"/>
      <c r="J63" s="9"/>
      <c r="K63" s="9"/>
      <c r="L63" s="9"/>
      <c r="M63" s="9"/>
    </row>
    <row r="64" spans="1:13" ht="20" thickTop="1" x14ac:dyDescent="0.25">
      <c r="B64" s="9"/>
      <c r="C64" s="9"/>
      <c r="D64" s="9"/>
      <c r="E64" s="9"/>
      <c r="F64" s="9"/>
      <c r="G64" s="9"/>
      <c r="H64" s="9"/>
      <c r="I64" s="9"/>
      <c r="J64" s="9"/>
      <c r="K64" s="9"/>
      <c r="L64" s="9"/>
      <c r="M64" s="9"/>
    </row>
    <row r="65" spans="1:13" x14ac:dyDescent="0.25">
      <c r="A65" s="39" t="s">
        <v>229</v>
      </c>
      <c r="B65" s="9"/>
      <c r="C65" s="9"/>
      <c r="D65" s="9"/>
      <c r="E65" s="9"/>
      <c r="F65" s="9"/>
      <c r="G65" s="9"/>
      <c r="H65" s="9"/>
      <c r="I65" s="9"/>
      <c r="J65" s="9"/>
      <c r="K65" s="9"/>
      <c r="L65" s="9"/>
      <c r="M65" s="9"/>
    </row>
    <row r="66" spans="1:13" x14ac:dyDescent="0.25">
      <c r="A66" s="1" t="s">
        <v>78</v>
      </c>
      <c r="B66" s="9">
        <v>2795</v>
      </c>
      <c r="C66" s="9">
        <v>2612</v>
      </c>
      <c r="D66" s="9">
        <v>2060</v>
      </c>
      <c r="E66" s="9">
        <v>2186</v>
      </c>
      <c r="F66" s="9">
        <v>2046</v>
      </c>
      <c r="G66" s="9">
        <v>1714</v>
      </c>
      <c r="H66" s="9">
        <v>1823</v>
      </c>
      <c r="I66" s="9">
        <v>1574</v>
      </c>
      <c r="J66" s="9">
        <v>1245</v>
      </c>
      <c r="K66" s="9">
        <v>1090</v>
      </c>
      <c r="L66" s="9">
        <v>1012</v>
      </c>
      <c r="M66" s="9"/>
    </row>
    <row r="67" spans="1:13" x14ac:dyDescent="0.25">
      <c r="A67" s="1" t="s">
        <v>76</v>
      </c>
      <c r="B67" s="9">
        <v>388</v>
      </c>
      <c r="C67" s="9">
        <v>272</v>
      </c>
      <c r="D67" s="9">
        <v>258</v>
      </c>
      <c r="E67" s="9">
        <v>303</v>
      </c>
      <c r="F67" s="9">
        <v>268</v>
      </c>
      <c r="G67" s="9">
        <v>277</v>
      </c>
      <c r="H67" s="9">
        <v>299</v>
      </c>
      <c r="I67" s="9">
        <v>148</v>
      </c>
      <c r="J67" s="9">
        <v>204</v>
      </c>
      <c r="K67" s="9">
        <v>186</v>
      </c>
      <c r="L67" s="9">
        <v>170</v>
      </c>
      <c r="M67" s="9"/>
    </row>
    <row r="68" spans="1:13" x14ac:dyDescent="0.25">
      <c r="A68" s="1" t="s">
        <v>77</v>
      </c>
      <c r="B68" s="9">
        <v>708</v>
      </c>
      <c r="C68" s="9">
        <v>704</v>
      </c>
      <c r="D68" s="9">
        <v>492</v>
      </c>
      <c r="E68" s="9">
        <v>509</v>
      </c>
      <c r="F68" s="9">
        <v>655</v>
      </c>
      <c r="G68" s="9">
        <v>511</v>
      </c>
      <c r="H68" s="9">
        <v>527</v>
      </c>
      <c r="I68" s="9">
        <v>671</v>
      </c>
      <c r="J68" s="9">
        <v>544</v>
      </c>
      <c r="K68" s="9">
        <v>807</v>
      </c>
      <c r="L68" s="9">
        <v>298</v>
      </c>
      <c r="M68" s="9"/>
    </row>
    <row r="69" spans="1:13" ht="20" thickBot="1" x14ac:dyDescent="0.3">
      <c r="A69" s="6" t="s">
        <v>80</v>
      </c>
      <c r="B69" s="10">
        <f>SUM(B66:B68)</f>
        <v>3891</v>
      </c>
      <c r="C69" s="10">
        <f t="shared" ref="C69:L69" si="11">SUM(C66:C68)</f>
        <v>3588</v>
      </c>
      <c r="D69" s="10">
        <f t="shared" si="11"/>
        <v>2810</v>
      </c>
      <c r="E69" s="10">
        <f t="shared" si="11"/>
        <v>2998</v>
      </c>
      <c r="F69" s="10">
        <f t="shared" si="11"/>
        <v>2969</v>
      </c>
      <c r="G69" s="10">
        <f t="shared" si="11"/>
        <v>2502</v>
      </c>
      <c r="H69" s="10">
        <f t="shared" si="11"/>
        <v>2649</v>
      </c>
      <c r="I69" s="10">
        <f t="shared" si="11"/>
        <v>2393</v>
      </c>
      <c r="J69" s="10">
        <f t="shared" si="11"/>
        <v>1993</v>
      </c>
      <c r="K69" s="10">
        <f t="shared" si="11"/>
        <v>2083</v>
      </c>
      <c r="L69" s="10">
        <f t="shared" si="11"/>
        <v>1480</v>
      </c>
      <c r="M69" s="9"/>
    </row>
    <row r="70" spans="1:13" ht="20" thickTop="1" x14ac:dyDescent="0.25">
      <c r="B70" s="9"/>
      <c r="C70" s="9"/>
      <c r="D70" s="9"/>
      <c r="E70" s="9"/>
      <c r="F70" s="9"/>
      <c r="G70" s="9"/>
      <c r="H70" s="9"/>
      <c r="I70" s="9"/>
      <c r="J70" s="9"/>
      <c r="K70" s="9"/>
      <c r="L70" s="9"/>
      <c r="M70" s="9"/>
    </row>
    <row r="71" spans="1:13" x14ac:dyDescent="0.25">
      <c r="A71" s="39" t="s">
        <v>230</v>
      </c>
      <c r="B71" s="9"/>
      <c r="C71" s="9"/>
      <c r="D71" s="9"/>
      <c r="E71" s="9"/>
      <c r="F71" s="9"/>
      <c r="G71" s="9"/>
      <c r="H71" s="9"/>
      <c r="I71" s="9"/>
      <c r="J71" s="9"/>
      <c r="K71" s="9"/>
      <c r="L71" s="9"/>
      <c r="M71" s="9"/>
    </row>
    <row r="72" spans="1:13" x14ac:dyDescent="0.25">
      <c r="A72" s="1" t="s">
        <v>78</v>
      </c>
      <c r="B72" s="9">
        <v>17205</v>
      </c>
      <c r="C72" s="9">
        <v>15993</v>
      </c>
      <c r="D72" s="9">
        <v>14916</v>
      </c>
      <c r="E72" s="9">
        <v>14367</v>
      </c>
      <c r="F72" s="9">
        <v>13353</v>
      </c>
      <c r="G72" s="9">
        <v>12339</v>
      </c>
      <c r="H72" s="9">
        <v>11745</v>
      </c>
      <c r="I72" s="9">
        <v>10815</v>
      </c>
      <c r="J72" s="9">
        <v>10132</v>
      </c>
      <c r="K72" s="9">
        <v>9652</v>
      </c>
      <c r="L72" s="9">
        <v>9236</v>
      </c>
      <c r="M72" s="9"/>
    </row>
    <row r="73" spans="1:13" x14ac:dyDescent="0.25">
      <c r="A73" s="1" t="s">
        <v>76</v>
      </c>
      <c r="B73" s="9">
        <v>2459</v>
      </c>
      <c r="C73" s="9">
        <v>2317</v>
      </c>
      <c r="D73" s="9">
        <v>2172</v>
      </c>
      <c r="E73" s="9">
        <v>2044</v>
      </c>
      <c r="F73" s="9">
        <v>1900</v>
      </c>
      <c r="G73" s="9">
        <v>1820</v>
      </c>
      <c r="H73" s="9">
        <v>1628</v>
      </c>
      <c r="I73" s="9">
        <v>1381</v>
      </c>
      <c r="J73" s="9">
        <v>1662</v>
      </c>
      <c r="K73" s="9">
        <v>1621</v>
      </c>
      <c r="L73" s="9">
        <v>1664</v>
      </c>
      <c r="M73" s="9"/>
    </row>
    <row r="74" spans="1:13" x14ac:dyDescent="0.25">
      <c r="A74" s="1" t="s">
        <v>77</v>
      </c>
      <c r="B74" s="9">
        <v>4982</v>
      </c>
      <c r="C74" s="9">
        <v>5182</v>
      </c>
      <c r="D74" s="9">
        <v>4719</v>
      </c>
      <c r="E74" s="9">
        <v>4479</v>
      </c>
      <c r="F74" s="9">
        <v>4428</v>
      </c>
      <c r="G74" s="9">
        <v>4002</v>
      </c>
      <c r="H74" s="9">
        <v>3670</v>
      </c>
      <c r="I74" s="9">
        <v>3205</v>
      </c>
      <c r="J74" s="9">
        <v>3036</v>
      </c>
      <c r="K74" s="9">
        <v>2608</v>
      </c>
      <c r="L74" s="9">
        <v>2061</v>
      </c>
      <c r="M74" s="9"/>
    </row>
    <row r="75" spans="1:13" ht="20" thickBot="1" x14ac:dyDescent="0.3">
      <c r="A75" s="6" t="s">
        <v>80</v>
      </c>
      <c r="B75" s="10">
        <f>SUM(B72:B74)</f>
        <v>24646</v>
      </c>
      <c r="C75" s="10">
        <f t="shared" ref="C75" si="12">SUM(C72:C74)</f>
        <v>23492</v>
      </c>
      <c r="D75" s="10">
        <f t="shared" ref="D75" si="13">SUM(D72:D74)</f>
        <v>21807</v>
      </c>
      <c r="E75" s="10">
        <f t="shared" ref="E75" si="14">SUM(E72:E74)</f>
        <v>20890</v>
      </c>
      <c r="F75" s="10">
        <f t="shared" ref="F75" si="15">SUM(F72:F74)</f>
        <v>19681</v>
      </c>
      <c r="G75" s="10">
        <f t="shared" ref="G75" si="16">SUM(G72:G74)</f>
        <v>18161</v>
      </c>
      <c r="H75" s="10">
        <f t="shared" ref="H75" si="17">SUM(H72:H74)</f>
        <v>17043</v>
      </c>
      <c r="I75" s="10">
        <f t="shared" ref="I75" si="18">SUM(I72:I74)</f>
        <v>15401</v>
      </c>
      <c r="J75" s="10">
        <f t="shared" ref="J75" si="19">SUM(J72:J74)</f>
        <v>14830</v>
      </c>
      <c r="K75" s="10">
        <f t="shared" ref="K75" si="20">SUM(K72:K74)</f>
        <v>13881</v>
      </c>
      <c r="L75" s="10">
        <f t="shared" ref="L75" si="21">SUM(L72:L74)</f>
        <v>12961</v>
      </c>
      <c r="M75" s="9"/>
    </row>
    <row r="76" spans="1:13" ht="20" thickTop="1" x14ac:dyDescent="0.25">
      <c r="B76" s="9"/>
      <c r="C76" s="9"/>
      <c r="D76" s="9"/>
      <c r="E76" s="9"/>
      <c r="F76" s="9"/>
      <c r="G76" s="9"/>
      <c r="H76" s="9"/>
      <c r="I76" s="9"/>
      <c r="J76" s="9"/>
      <c r="K76" s="9"/>
      <c r="L76" s="9"/>
      <c r="M76" s="9"/>
    </row>
    <row r="77" spans="1:13" x14ac:dyDescent="0.25">
      <c r="A77" s="39" t="s">
        <v>231</v>
      </c>
      <c r="B77" s="9"/>
      <c r="C77" s="9"/>
      <c r="D77" s="9"/>
      <c r="E77" s="9"/>
      <c r="F77" s="9"/>
      <c r="G77" s="9"/>
      <c r="H77" s="9"/>
      <c r="I77" s="9"/>
      <c r="J77" s="9"/>
      <c r="K77" s="9"/>
      <c r="L77" s="9"/>
      <c r="M77" s="9"/>
    </row>
    <row r="78" spans="1:13" x14ac:dyDescent="0.25">
      <c r="A78" s="1" t="s">
        <v>78</v>
      </c>
      <c r="B78" s="9">
        <v>44904</v>
      </c>
      <c r="C78" s="9">
        <v>39589</v>
      </c>
      <c r="D78" s="9">
        <v>38366</v>
      </c>
      <c r="E78" s="9">
        <v>32162</v>
      </c>
      <c r="F78" s="9">
        <v>28207</v>
      </c>
      <c r="G78" s="9">
        <v>24068</v>
      </c>
      <c r="H78" s="9">
        <v>22511</v>
      </c>
      <c r="I78" s="9">
        <v>22988</v>
      </c>
      <c r="J78" s="9">
        <v>21929</v>
      </c>
      <c r="K78" s="9">
        <v>20608</v>
      </c>
      <c r="L78" s="9">
        <v>18401</v>
      </c>
      <c r="M78" s="9"/>
    </row>
    <row r="79" spans="1:13" x14ac:dyDescent="0.25">
      <c r="A79" s="1" t="s">
        <v>76</v>
      </c>
      <c r="B79" s="9">
        <v>6558</v>
      </c>
      <c r="C79" s="9">
        <v>5962</v>
      </c>
      <c r="D79" s="9">
        <v>5270</v>
      </c>
      <c r="E79" s="9">
        <v>4369</v>
      </c>
      <c r="F79" s="9">
        <v>4303</v>
      </c>
      <c r="G79" s="9">
        <v>4471</v>
      </c>
      <c r="H79" s="9">
        <v>3480</v>
      </c>
      <c r="I79" s="9">
        <v>3608</v>
      </c>
      <c r="J79" s="9">
        <v>4892</v>
      </c>
      <c r="K79" s="9">
        <v>4529</v>
      </c>
      <c r="L79" s="9">
        <v>4237</v>
      </c>
      <c r="M79" s="9"/>
    </row>
    <row r="80" spans="1:13" x14ac:dyDescent="0.25">
      <c r="A80" s="1" t="s">
        <v>77</v>
      </c>
      <c r="B80" s="9">
        <v>12704</v>
      </c>
      <c r="C80" s="9">
        <v>13717</v>
      </c>
      <c r="D80" s="9">
        <v>11920</v>
      </c>
      <c r="E80" s="9">
        <v>8869</v>
      </c>
      <c r="F80" s="9">
        <v>8320</v>
      </c>
      <c r="G80" s="9">
        <v>7808</v>
      </c>
      <c r="H80" s="9">
        <v>7172</v>
      </c>
      <c r="I80" s="9">
        <v>6421</v>
      </c>
      <c r="J80" s="9">
        <v>6203</v>
      </c>
      <c r="K80" s="9">
        <v>5146</v>
      </c>
      <c r="L80" s="9">
        <v>4502</v>
      </c>
      <c r="M80" s="9"/>
    </row>
    <row r="81" spans="1:12" ht="20" thickBot="1" x14ac:dyDescent="0.3">
      <c r="A81" s="6" t="s">
        <v>80</v>
      </c>
      <c r="B81" s="10">
        <f>SUM(B78:B80)</f>
        <v>64166</v>
      </c>
      <c r="C81" s="10">
        <f t="shared" ref="C81" si="22">SUM(C78:C80)</f>
        <v>59268</v>
      </c>
      <c r="D81" s="10">
        <f t="shared" ref="D81" si="23">SUM(D78:D80)</f>
        <v>55556</v>
      </c>
      <c r="E81" s="10">
        <f t="shared" ref="E81" si="24">SUM(E78:E80)</f>
        <v>45400</v>
      </c>
      <c r="F81" s="10">
        <f t="shared" ref="F81" si="25">SUM(F78:F80)</f>
        <v>40830</v>
      </c>
      <c r="G81" s="10">
        <f t="shared" ref="G81" si="26">SUM(G78:G80)</f>
        <v>36347</v>
      </c>
      <c r="H81" s="10">
        <f t="shared" ref="H81" si="27">SUM(H78:H80)</f>
        <v>33163</v>
      </c>
      <c r="I81" s="10">
        <f t="shared" ref="I81" si="28">SUM(I78:I80)</f>
        <v>33017</v>
      </c>
      <c r="J81" s="10">
        <f t="shared" ref="J81" si="29">SUM(J78:J80)</f>
        <v>33024</v>
      </c>
      <c r="K81" s="10">
        <f t="shared" ref="K81" si="30">SUM(K78:K80)</f>
        <v>30283</v>
      </c>
      <c r="L81" s="10">
        <f t="shared" ref="L81" si="31">SUM(L78:L80)</f>
        <v>27140</v>
      </c>
    </row>
    <row r="82" spans="1:12" ht="20" thickTop="1" x14ac:dyDescent="0.25">
      <c r="B82" s="9"/>
      <c r="C82" s="9"/>
      <c r="D82" s="9"/>
      <c r="E82" s="9"/>
      <c r="F82" s="9"/>
      <c r="G82" s="9"/>
      <c r="H82" s="9"/>
      <c r="I82" s="9"/>
      <c r="J82" s="9"/>
      <c r="K82" s="9"/>
      <c r="L82" s="9"/>
    </row>
    <row r="83" spans="1:12" x14ac:dyDescent="0.25">
      <c r="A83" s="39" t="s">
        <v>232</v>
      </c>
    </row>
    <row r="84" spans="1:12" x14ac:dyDescent="0.25">
      <c r="A84" s="1" t="s">
        <v>78</v>
      </c>
      <c r="B84" s="14">
        <f>'Operating Summary &amp; Stats'!B48/'Cash Flow Analysis'!B78</f>
        <v>0.11731694281133084</v>
      </c>
      <c r="C84" s="14">
        <f>'Operating Summary &amp; Stats'!C48/'Cash Flow Analysis'!C78</f>
        <v>0.1076561671171285</v>
      </c>
      <c r="D84" s="14">
        <f>'Operating Summary &amp; Stats'!D48/'Cash Flow Analysis'!D78</f>
        <v>9.4693217953396233E-2</v>
      </c>
      <c r="E84" s="14">
        <f>'Operating Summary &amp; Stats'!E48/'Cash Flow Analysis'!E78</f>
        <v>9.5236614638393141E-2</v>
      </c>
      <c r="F84" s="14">
        <f>'Operating Summary &amp; Stats'!F48/'Cash Flow Analysis'!F78</f>
        <v>9.8805261105399375E-2</v>
      </c>
      <c r="G84" s="14">
        <f>'Operating Summary &amp; Stats'!G48/'Cash Flow Analysis'!G78</f>
        <v>0.10985540967259431</v>
      </c>
      <c r="H84" s="14">
        <f>'Operating Summary &amp; Stats'!H48/'Cash Flow Analysis'!H78</f>
        <v>0.10332726222735551</v>
      </c>
      <c r="I84" s="14">
        <f>'Operating Summary &amp; Stats'!I48/'Cash Flow Analysis'!I78</f>
        <v>0.1004002088045937</v>
      </c>
      <c r="J84" s="14">
        <f>'Operating Summary &amp; Stats'!J48/'Cash Flow Analysis'!J78</f>
        <v>8.5731223494003375E-2</v>
      </c>
      <c r="K84" s="14">
        <f>'Operating Summary &amp; Stats'!K48/'Cash Flow Analysis'!K78</f>
        <v>8.7829968944099376E-2</v>
      </c>
      <c r="L84" s="14">
        <f>'Operating Summary &amp; Stats'!L48/'Cash Flow Analysis'!L78</f>
        <v>8.8690832019998916E-2</v>
      </c>
    </row>
    <row r="85" spans="1:12" x14ac:dyDescent="0.25">
      <c r="A85" s="1" t="s">
        <v>76</v>
      </c>
      <c r="B85" s="14">
        <f>'Operating Summary &amp; Stats'!B49/'Cash Flow Analysis'!B79</f>
        <v>0.20524550167734065</v>
      </c>
      <c r="C85" s="14">
        <f>'Operating Summary &amp; Stats'!C49/'Cash Flow Analysis'!C79</f>
        <v>0.19724924521972492</v>
      </c>
      <c r="D85" s="14">
        <f>'Operating Summary &amp; Stats'!D49/'Cash Flow Analysis'!D79</f>
        <v>0.16318785578747627</v>
      </c>
      <c r="E85" s="14">
        <f>'Operating Summary &amp; Stats'!E49/'Cash Flow Analysis'!E79</f>
        <v>0.2114900434882124</v>
      </c>
      <c r="F85" s="14">
        <f>'Operating Summary &amp; Stats'!F49/'Cash Flow Analysis'!F79</f>
        <v>0.21821984661863816</v>
      </c>
      <c r="G85" s="14">
        <f>'Operating Summary &amp; Stats'!G49/'Cash Flow Analysis'!G79</f>
        <v>0.18810109595168867</v>
      </c>
      <c r="H85" s="14">
        <f>'Operating Summary &amp; Stats'!H49/'Cash Flow Analysis'!H79</f>
        <v>0.22356321839080459</v>
      </c>
      <c r="I85" s="14">
        <f>'Operating Summary &amp; Stats'!I49/'Cash Flow Analysis'!I79</f>
        <v>0.21369179600886917</v>
      </c>
      <c r="J85" s="14">
        <f>'Operating Summary &amp; Stats'!J49/'Cash Flow Analysis'!J79</f>
        <v>0.16271463614063778</v>
      </c>
      <c r="K85" s="14">
        <f>'Operating Summary &amp; Stats'!K49/'Cash Flow Analysis'!K79</f>
        <v>0.16692426584234932</v>
      </c>
      <c r="L85" s="14">
        <f>'Operating Summary &amp; Stats'!L49/'Cash Flow Analysis'!L79</f>
        <v>0.15765872079301393</v>
      </c>
    </row>
    <row r="86" spans="1:12" x14ac:dyDescent="0.25">
      <c r="A86" s="1" t="s">
        <v>77</v>
      </c>
      <c r="B86" s="14">
        <f>'Operating Summary &amp; Stats'!B50/'Cash Flow Analysis'!B80</f>
        <v>9.2805415617128462E-2</v>
      </c>
      <c r="C86" s="14">
        <f>'Operating Summary &amp; Stats'!C50/'Cash Flow Analysis'!C80</f>
        <v>9.2585842385361231E-2</v>
      </c>
      <c r="D86" s="14">
        <f>'Operating Summary &amp; Stats'!D50/'Cash Flow Analysis'!D80</f>
        <v>7.9026845637583887E-2</v>
      </c>
      <c r="E86" s="14">
        <f>'Operating Summary &amp; Stats'!E50/'Cash Flow Analysis'!E80</f>
        <v>8.4564212425301613E-2</v>
      </c>
      <c r="F86" s="14">
        <f>'Operating Summary &amp; Stats'!F50/'Cash Flow Analysis'!F80</f>
        <v>9.0624999999999997E-2</v>
      </c>
      <c r="G86" s="14">
        <f>'Operating Summary &amp; Stats'!G50/'Cash Flow Analysis'!G80</f>
        <v>8.0174180327868855E-2</v>
      </c>
      <c r="H86" s="14">
        <f>'Operating Summary &amp; Stats'!H50/'Cash Flow Analysis'!H80</f>
        <v>7.9196876742889014E-2</v>
      </c>
      <c r="I86" s="14">
        <f>'Operating Summary &amp; Stats'!I50/'Cash Flow Analysis'!I80</f>
        <v>8.4877744899548357E-2</v>
      </c>
      <c r="J86" s="14">
        <f>'Operating Summary &amp; Stats'!J50/'Cash Flow Analysis'!J80</f>
        <v>8.7699500241818482E-2</v>
      </c>
      <c r="K86" s="14">
        <f>'Operating Summary &amp; Stats'!K50/'Cash Flow Analysis'!K80</f>
        <v>9.4636610959968906E-2</v>
      </c>
      <c r="L86" s="14">
        <f>'Operating Summary &amp; Stats'!L50/'Cash Flow Analysis'!L80</f>
        <v>0.10195468680586406</v>
      </c>
    </row>
    <row r="87" spans="1:12" x14ac:dyDescent="0.25">
      <c r="A87" s="6" t="s">
        <v>235</v>
      </c>
      <c r="B87" s="69">
        <f>'Operating Summary &amp; Stats'!B51/'Cash Flow Analysis'!B81</f>
        <v>0.12145061247389584</v>
      </c>
      <c r="C87" s="69">
        <f>'Operating Summary &amp; Stats'!C51/'Cash Flow Analysis'!C81</f>
        <v>0.1131808058311399</v>
      </c>
      <c r="D87" s="69">
        <f>'Operating Summary &amp; Stats'!D51/'Cash Flow Analysis'!D81</f>
        <v>9.7829217366261073E-2</v>
      </c>
      <c r="E87" s="69">
        <f>'Operating Summary &amp; Stats'!E51/'Cash Flow Analysis'!E81</f>
        <v>0.10433920704845814</v>
      </c>
      <c r="F87" s="69">
        <f>'Operating Summary &amp; Stats'!F51/'Cash Flow Analysis'!F81</f>
        <v>0.10972324271369091</v>
      </c>
      <c r="G87" s="69">
        <f>'Operating Summary &amp; Stats'!G51/'Cash Flow Analysis'!G81</f>
        <v>0.11310424519217542</v>
      </c>
      <c r="H87" s="69">
        <f>'Operating Summary &amp; Stats'!H51/'Cash Flow Analysis'!H81</f>
        <v>0.11072580888339414</v>
      </c>
      <c r="I87" s="69">
        <f>'Operating Summary &amp; Stats'!I51/'Cash Flow Analysis'!I81</f>
        <v>0.10976163794408941</v>
      </c>
      <c r="J87" s="69">
        <f>'Operating Summary &amp; Stats'!J51/'Cash Flow Analysis'!J81</f>
        <v>9.7504844961240317E-2</v>
      </c>
      <c r="K87" s="69">
        <f>'Operating Summary &amp; Stats'!K51/'Cash Flow Analysis'!K81</f>
        <v>0.10081563913746987</v>
      </c>
      <c r="L87" s="69">
        <f>'Operating Summary &amp; Stats'!L51/'Cash Flow Analysis'!L81</f>
        <v>0.10165806927044953</v>
      </c>
    </row>
    <row r="89" spans="1:12" x14ac:dyDescent="0.25">
      <c r="A89" s="39" t="s">
        <v>233</v>
      </c>
    </row>
    <row r="90" spans="1:12" x14ac:dyDescent="0.25">
      <c r="A90" s="1" t="s">
        <v>78</v>
      </c>
      <c r="B90" s="1">
        <f>'Operating Summary &amp; Stats'!B87-'Operating Summary &amp; Stats'!C87</f>
        <v>14</v>
      </c>
      <c r="C90" s="1">
        <f>'Operating Summary &amp; Stats'!C87-'Operating Summary &amp; Stats'!D87</f>
        <v>12</v>
      </c>
      <c r="D90" s="1">
        <f>'Operating Summary &amp; Stats'!D87-'Operating Summary &amp; Stats'!E87</f>
        <v>9</v>
      </c>
      <c r="E90" s="1">
        <f>'Operating Summary &amp; Stats'!E87-'Operating Summary &amp; Stats'!F87</f>
        <v>16</v>
      </c>
      <c r="F90" s="1">
        <f>'Operating Summary &amp; Stats'!F87-'Operating Summary &amp; Stats'!G87</f>
        <v>13</v>
      </c>
      <c r="G90" s="1">
        <f>'Operating Summary &amp; Stats'!G87-'Operating Summary &amp; Stats'!H87</f>
        <v>13</v>
      </c>
      <c r="H90" s="1">
        <f>'Operating Summary &amp; Stats'!H87-'Operating Summary &amp; Stats'!I87</f>
        <v>21</v>
      </c>
      <c r="I90" s="1">
        <f>'Operating Summary &amp; Stats'!I87-'Operating Summary &amp; Stats'!J87</f>
        <v>12</v>
      </c>
      <c r="J90" s="1">
        <f>'Operating Summary &amp; Stats'!J87-'Operating Summary &amp; Stats'!K87</f>
        <v>17</v>
      </c>
      <c r="K90" s="1">
        <f>'Operating Summary &amp; Stats'!K87-'Operating Summary &amp; Stats'!L87</f>
        <v>12</v>
      </c>
      <c r="L90" s="1">
        <f>'Operating Summary &amp; Stats'!L87-'Operating Summary &amp; Stats'!M87</f>
        <v>10</v>
      </c>
    </row>
    <row r="91" spans="1:12" x14ac:dyDescent="0.25">
      <c r="A91" s="1" t="s">
        <v>76</v>
      </c>
      <c r="B91" s="1">
        <f>'Operating Summary &amp; Stats'!B88-'Operating Summary &amp; Stats'!C88</f>
        <v>2</v>
      </c>
      <c r="C91" s="1">
        <f>'Operating Summary &amp; Stats'!C88-'Operating Summary &amp; Stats'!D88</f>
        <v>4</v>
      </c>
      <c r="D91" s="1">
        <f>'Operating Summary &amp; Stats'!D88-'Operating Summary &amp; Stats'!E88</f>
        <v>1</v>
      </c>
      <c r="E91" s="1">
        <f>'Operating Summary &amp; Stats'!E88-'Operating Summary &amp; Stats'!F88</f>
        <v>0</v>
      </c>
      <c r="F91" s="1">
        <f>'Operating Summary &amp; Stats'!F88-'Operating Summary &amp; Stats'!G88</f>
        <v>3</v>
      </c>
      <c r="G91" s="1">
        <f>'Operating Summary &amp; Stats'!G88-'Operating Summary &amp; Stats'!H88</f>
        <v>6</v>
      </c>
      <c r="H91" s="1">
        <f>'Operating Summary &amp; Stats'!H88-'Operating Summary &amp; Stats'!I88</f>
        <v>2</v>
      </c>
      <c r="I91" s="1">
        <f>'Operating Summary &amp; Stats'!I88-'Operating Summary &amp; Stats'!J88</f>
        <v>1</v>
      </c>
      <c r="J91" s="1">
        <f>'Operating Summary &amp; Stats'!J88-'Operating Summary &amp; Stats'!K88</f>
        <v>3</v>
      </c>
      <c r="K91" s="1">
        <f>'Operating Summary &amp; Stats'!K88-'Operating Summary &amp; Stats'!L88</f>
        <v>3</v>
      </c>
      <c r="L91" s="1">
        <f>'Operating Summary &amp; Stats'!L88-'Operating Summary &amp; Stats'!M88</f>
        <v>0</v>
      </c>
    </row>
    <row r="92" spans="1:12" x14ac:dyDescent="0.25">
      <c r="A92" s="1" t="s">
        <v>77</v>
      </c>
      <c r="B92" s="1">
        <f>SUM('Operating Summary &amp; Stats'!B89:B98)-SUM('Operating Summary &amp; Stats'!C89:C98)</f>
        <v>7</v>
      </c>
      <c r="C92" s="1">
        <f>SUM('Operating Summary &amp; Stats'!C89:C98)-SUM('Operating Summary &amp; Stats'!D89:D98)</f>
        <v>4</v>
      </c>
      <c r="D92" s="1">
        <f>SUM('Operating Summary &amp; Stats'!D89:D98)-SUM('Operating Summary &amp; Stats'!E89:E98)</f>
        <v>3</v>
      </c>
      <c r="E92" s="1">
        <f>SUM('Operating Summary &amp; Stats'!E89:E98)-SUM('Operating Summary &amp; Stats'!F89:F98)</f>
        <v>4</v>
      </c>
      <c r="F92" s="1">
        <f>SUM('Operating Summary &amp; Stats'!F89:F98)-SUM('Operating Summary &amp; Stats'!G89:G98)</f>
        <v>5</v>
      </c>
      <c r="G92" s="1">
        <f>SUM('Operating Summary &amp; Stats'!G89:G98)-SUM('Operating Summary &amp; Stats'!H89:H98)</f>
        <v>7</v>
      </c>
      <c r="H92" s="1">
        <f>SUM('Operating Summary &amp; Stats'!H89:H98)-SUM('Operating Summary &amp; Stats'!I89:I98)</f>
        <v>6</v>
      </c>
      <c r="I92" s="1">
        <f>SUM('Operating Summary &amp; Stats'!I89:I98)-SUM('Operating Summary &amp; Stats'!J89:J98)</f>
        <v>10</v>
      </c>
      <c r="J92" s="1">
        <f>SUM('Operating Summary &amp; Stats'!J89:J98)-SUM('Operating Summary &amp; Stats'!K89:K98)</f>
        <v>9</v>
      </c>
      <c r="K92" s="1">
        <f>SUM('Operating Summary &amp; Stats'!K89:K98)-SUM('Operating Summary &amp; Stats'!L89:L98)</f>
        <v>11</v>
      </c>
      <c r="L92" s="1">
        <f>SUM('Operating Summary &amp; Stats'!L89:L98)-SUM('Operating Summary &amp; Stats'!M89:M98)</f>
        <v>6</v>
      </c>
    </row>
    <row r="93" spans="1:12" ht="20" thickBot="1" x14ac:dyDescent="0.3">
      <c r="A93" s="6" t="s">
        <v>80</v>
      </c>
      <c r="B93" s="70">
        <f>'Operating Summary &amp; Stats'!B99-'Operating Summary &amp; Stats'!C99</f>
        <v>23</v>
      </c>
      <c r="C93" s="70">
        <f>'Operating Summary &amp; Stats'!C99-'Operating Summary &amp; Stats'!D99</f>
        <v>20</v>
      </c>
      <c r="D93" s="70">
        <f>'Operating Summary &amp; Stats'!D99-'Operating Summary &amp; Stats'!E99</f>
        <v>13</v>
      </c>
      <c r="E93" s="70">
        <f>'Operating Summary &amp; Stats'!E99-'Operating Summary &amp; Stats'!F99</f>
        <v>20</v>
      </c>
      <c r="F93" s="70">
        <f>'Operating Summary &amp; Stats'!F99-'Operating Summary &amp; Stats'!G99</f>
        <v>21</v>
      </c>
      <c r="G93" s="70">
        <f>'Operating Summary &amp; Stats'!G99-'Operating Summary &amp; Stats'!H99</f>
        <v>26</v>
      </c>
      <c r="H93" s="70">
        <f>'Operating Summary &amp; Stats'!H99-'Operating Summary &amp; Stats'!I99</f>
        <v>29</v>
      </c>
      <c r="I93" s="70">
        <f>'Operating Summary &amp; Stats'!I99-'Operating Summary &amp; Stats'!J99</f>
        <v>23</v>
      </c>
      <c r="J93" s="70">
        <f>'Operating Summary &amp; Stats'!J99-'Operating Summary &amp; Stats'!K99</f>
        <v>29</v>
      </c>
      <c r="K93" s="70">
        <f>'Operating Summary &amp; Stats'!K99-'Operating Summary &amp; Stats'!L99</f>
        <v>26</v>
      </c>
      <c r="L93" s="70">
        <f>'Operating Summary &amp; Stats'!L99-'Operating Summary &amp; Stats'!M99</f>
        <v>16</v>
      </c>
    </row>
    <row r="94" spans="1:12" ht="20" thickTop="1" x14ac:dyDescent="0.25"/>
    <row r="95" spans="1:12" x14ac:dyDescent="0.25">
      <c r="A95" s="39" t="s">
        <v>234</v>
      </c>
    </row>
    <row r="96" spans="1:12" x14ac:dyDescent="0.25">
      <c r="A96" s="1" t="s">
        <v>78</v>
      </c>
      <c r="B96" s="51">
        <f>B66/B90</f>
        <v>199.64285714285714</v>
      </c>
      <c r="C96" s="51">
        <f t="shared" ref="C96:L96" si="32">C66/C90</f>
        <v>217.66666666666666</v>
      </c>
      <c r="D96" s="51">
        <f t="shared" si="32"/>
        <v>228.88888888888889</v>
      </c>
      <c r="E96" s="51">
        <f t="shared" si="32"/>
        <v>136.625</v>
      </c>
      <c r="F96" s="51">
        <f t="shared" si="32"/>
        <v>157.38461538461539</v>
      </c>
      <c r="G96" s="51">
        <f t="shared" si="32"/>
        <v>131.84615384615384</v>
      </c>
      <c r="H96" s="51">
        <f t="shared" si="32"/>
        <v>86.80952380952381</v>
      </c>
      <c r="I96" s="51">
        <f t="shared" si="32"/>
        <v>131.16666666666666</v>
      </c>
      <c r="J96" s="51">
        <f t="shared" si="32"/>
        <v>73.235294117647058</v>
      </c>
      <c r="K96" s="51">
        <f t="shared" si="32"/>
        <v>90.833333333333329</v>
      </c>
      <c r="L96" s="51">
        <f t="shared" si="32"/>
        <v>101.2</v>
      </c>
    </row>
    <row r="97" spans="1:12" x14ac:dyDescent="0.25">
      <c r="A97" s="1" t="s">
        <v>76</v>
      </c>
      <c r="B97" s="51">
        <f t="shared" ref="B97:L98" si="33">B67/B91</f>
        <v>194</v>
      </c>
      <c r="C97" s="51">
        <f t="shared" si="33"/>
        <v>68</v>
      </c>
      <c r="D97" s="51">
        <f t="shared" si="33"/>
        <v>258</v>
      </c>
      <c r="E97" s="72" t="s">
        <v>236</v>
      </c>
      <c r="F97" s="51">
        <f t="shared" si="33"/>
        <v>89.333333333333329</v>
      </c>
      <c r="G97" s="51">
        <f t="shared" si="33"/>
        <v>46.166666666666664</v>
      </c>
      <c r="H97" s="51">
        <f t="shared" si="33"/>
        <v>149.5</v>
      </c>
      <c r="I97" s="51">
        <f t="shared" si="33"/>
        <v>148</v>
      </c>
      <c r="J97" s="51">
        <f t="shared" si="33"/>
        <v>68</v>
      </c>
      <c r="K97" s="51">
        <f t="shared" si="33"/>
        <v>62</v>
      </c>
      <c r="L97" s="72" t="s">
        <v>236</v>
      </c>
    </row>
    <row r="98" spans="1:12" x14ac:dyDescent="0.25">
      <c r="A98" s="1" t="s">
        <v>77</v>
      </c>
      <c r="B98" s="51">
        <f t="shared" si="33"/>
        <v>101.14285714285714</v>
      </c>
      <c r="C98" s="51">
        <f t="shared" si="33"/>
        <v>176</v>
      </c>
      <c r="D98" s="51">
        <f t="shared" si="33"/>
        <v>164</v>
      </c>
      <c r="E98" s="51">
        <f t="shared" si="33"/>
        <v>127.25</v>
      </c>
      <c r="F98" s="51">
        <f t="shared" si="33"/>
        <v>131</v>
      </c>
      <c r="G98" s="51">
        <f t="shared" si="33"/>
        <v>73</v>
      </c>
      <c r="H98" s="51">
        <f t="shared" si="33"/>
        <v>87.833333333333329</v>
      </c>
      <c r="I98" s="51">
        <f t="shared" si="33"/>
        <v>67.099999999999994</v>
      </c>
      <c r="J98" s="51">
        <f t="shared" si="33"/>
        <v>60.444444444444443</v>
      </c>
      <c r="K98" s="51">
        <f t="shared" si="33"/>
        <v>73.36363636363636</v>
      </c>
      <c r="L98" s="51">
        <f t="shared" si="33"/>
        <v>49.666666666666664</v>
      </c>
    </row>
    <row r="99" spans="1:12" x14ac:dyDescent="0.25">
      <c r="A99" s="6" t="s">
        <v>235</v>
      </c>
      <c r="B99" s="71">
        <f>B69/B93</f>
        <v>169.17391304347825</v>
      </c>
      <c r="C99" s="71">
        <f t="shared" ref="C99:L99" si="34">C69/C93</f>
        <v>179.4</v>
      </c>
      <c r="D99" s="71">
        <f t="shared" si="34"/>
        <v>216.15384615384616</v>
      </c>
      <c r="E99" s="71">
        <f t="shared" si="34"/>
        <v>149.9</v>
      </c>
      <c r="F99" s="71">
        <f t="shared" si="34"/>
        <v>141.38095238095238</v>
      </c>
      <c r="G99" s="71">
        <f t="shared" si="34"/>
        <v>96.230769230769226</v>
      </c>
      <c r="H99" s="71">
        <f t="shared" si="34"/>
        <v>91.34482758620689</v>
      </c>
      <c r="I99" s="71">
        <f t="shared" si="34"/>
        <v>104.04347826086956</v>
      </c>
      <c r="J99" s="71">
        <f t="shared" si="34"/>
        <v>68.724137931034477</v>
      </c>
      <c r="K99" s="71">
        <f t="shared" si="34"/>
        <v>80.115384615384613</v>
      </c>
      <c r="L99" s="71">
        <f t="shared" si="34"/>
        <v>92.5</v>
      </c>
    </row>
  </sheetData>
  <mergeCells count="2">
    <mergeCell ref="M3:M4"/>
    <mergeCell ref="B3:L3"/>
  </mergeCells>
  <pageMargins left="0.7" right="0.7" top="0.75" bottom="0.75" header="0.3" footer="0.3"/>
  <pageSetup orientation="portrait" horizontalDpi="0" verticalDpi="0" r:id="rId1"/>
  <ignoredErrors>
    <ignoredError sqref="M40" formula="1"/>
    <ignoredError sqref="B92:L92"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A9E89-150E-794B-AE66-277326667C62}">
  <dimension ref="A1:L33"/>
  <sheetViews>
    <sheetView workbookViewId="0">
      <selection sqref="A1:C1"/>
    </sheetView>
  </sheetViews>
  <sheetFormatPr baseColWidth="10" defaultRowHeight="19" x14ac:dyDescent="0.25"/>
  <cols>
    <col min="1" max="1" width="15.33203125" style="1" customWidth="1"/>
    <col min="2" max="2" width="15.33203125" style="1" bestFit="1" customWidth="1"/>
    <col min="3" max="16384" width="10.83203125" style="1"/>
  </cols>
  <sheetData>
    <row r="1" spans="1:12" ht="24" x14ac:dyDescent="0.3">
      <c r="A1" s="86" t="s">
        <v>219</v>
      </c>
      <c r="B1" s="86"/>
      <c r="C1" s="86"/>
    </row>
    <row r="2" spans="1:12" x14ac:dyDescent="0.25">
      <c r="A2" s="22" t="s">
        <v>220</v>
      </c>
    </row>
    <row r="4" spans="1:12" x14ac:dyDescent="0.25">
      <c r="A4" s="1" t="s">
        <v>221</v>
      </c>
    </row>
    <row r="5" spans="1:12" x14ac:dyDescent="0.25">
      <c r="A5" s="1" t="s">
        <v>227</v>
      </c>
    </row>
    <row r="6" spans="1:12" x14ac:dyDescent="0.25">
      <c r="A6" s="64" t="s">
        <v>222</v>
      </c>
      <c r="B6" s="64" t="s">
        <v>223</v>
      </c>
      <c r="C6" s="96" t="s">
        <v>226</v>
      </c>
      <c r="D6" s="96"/>
      <c r="E6" s="96"/>
      <c r="F6" s="96"/>
      <c r="G6" s="96"/>
      <c r="H6" s="96"/>
      <c r="I6" s="96"/>
      <c r="J6" s="96"/>
      <c r="K6" s="96"/>
      <c r="L6" s="96"/>
    </row>
    <row r="7" spans="1:12" x14ac:dyDescent="0.25">
      <c r="A7" s="63">
        <v>2022</v>
      </c>
      <c r="B7" s="66">
        <v>23</v>
      </c>
      <c r="C7" s="9"/>
      <c r="D7" s="9"/>
      <c r="E7" s="9"/>
      <c r="F7" s="9"/>
      <c r="G7" s="9"/>
      <c r="H7" s="9"/>
      <c r="I7" s="9"/>
      <c r="J7" s="9"/>
      <c r="K7" s="9"/>
      <c r="L7" s="9">
        <v>150</v>
      </c>
    </row>
    <row r="8" spans="1:12" x14ac:dyDescent="0.25">
      <c r="A8" s="63">
        <v>2021</v>
      </c>
      <c r="B8" s="67">
        <v>20</v>
      </c>
      <c r="C8" s="9"/>
      <c r="D8" s="9"/>
      <c r="E8" s="9"/>
      <c r="F8" s="9"/>
      <c r="G8" s="9"/>
      <c r="H8" s="9"/>
      <c r="I8" s="9"/>
      <c r="J8" s="9"/>
      <c r="K8" s="9">
        <v>140</v>
      </c>
      <c r="L8" s="9">
        <v>158</v>
      </c>
    </row>
    <row r="9" spans="1:12" x14ac:dyDescent="0.25">
      <c r="A9" s="63">
        <v>2020</v>
      </c>
      <c r="B9" s="67">
        <v>13</v>
      </c>
      <c r="C9" s="9"/>
      <c r="D9" s="9"/>
      <c r="E9" s="9"/>
      <c r="F9" s="9"/>
      <c r="G9" s="9"/>
      <c r="H9" s="9"/>
      <c r="I9" s="9"/>
      <c r="J9" s="9">
        <v>132</v>
      </c>
      <c r="K9" s="9">
        <v>152</v>
      </c>
      <c r="L9" s="9">
        <v>184</v>
      </c>
    </row>
    <row r="10" spans="1:12" x14ac:dyDescent="0.25">
      <c r="A10" s="63">
        <v>2019</v>
      </c>
      <c r="B10" s="67">
        <v>20</v>
      </c>
      <c r="C10" s="9"/>
      <c r="D10" s="9"/>
      <c r="E10" s="9"/>
      <c r="F10" s="9"/>
      <c r="G10" s="9"/>
      <c r="H10" s="9"/>
      <c r="I10" s="9">
        <v>129</v>
      </c>
      <c r="J10" s="9">
        <v>138</v>
      </c>
      <c r="K10" s="9">
        <v>172</v>
      </c>
      <c r="L10" s="9">
        <v>208</v>
      </c>
    </row>
    <row r="11" spans="1:12" x14ac:dyDescent="0.25">
      <c r="A11" s="63">
        <v>2018</v>
      </c>
      <c r="B11" s="67">
        <v>21</v>
      </c>
      <c r="C11" s="9"/>
      <c r="D11" s="9"/>
      <c r="E11" s="9"/>
      <c r="F11" s="9"/>
      <c r="G11" s="9"/>
      <c r="H11" s="9">
        <v>116</v>
      </c>
      <c r="I11" s="9">
        <v>119</v>
      </c>
      <c r="J11" s="9">
        <v>141</v>
      </c>
      <c r="K11" s="9">
        <v>172</v>
      </c>
      <c r="L11" s="9">
        <v>202</v>
      </c>
    </row>
    <row r="12" spans="1:12" x14ac:dyDescent="0.25">
      <c r="A12" s="63">
        <v>2017</v>
      </c>
      <c r="B12" s="67">
        <v>26</v>
      </c>
      <c r="C12" s="9"/>
      <c r="D12" s="9"/>
      <c r="E12" s="9"/>
      <c r="F12" s="9"/>
      <c r="G12" s="9">
        <v>121</v>
      </c>
      <c r="H12" s="9">
        <v>142</v>
      </c>
      <c r="I12" s="9">
        <v>158</v>
      </c>
      <c r="J12" s="9">
        <v>176</v>
      </c>
      <c r="K12" s="9">
        <v>206</v>
      </c>
      <c r="L12" s="9">
        <v>237</v>
      </c>
    </row>
    <row r="13" spans="1:12" x14ac:dyDescent="0.25">
      <c r="A13" s="63">
        <v>2016</v>
      </c>
      <c r="B13" s="67">
        <v>29</v>
      </c>
      <c r="C13" s="9"/>
      <c r="D13" s="9"/>
      <c r="E13" s="9"/>
      <c r="F13" s="9">
        <v>87</v>
      </c>
      <c r="G13" s="9">
        <v>97</v>
      </c>
      <c r="H13" s="9">
        <v>118</v>
      </c>
      <c r="I13" s="9">
        <v>131</v>
      </c>
      <c r="J13" s="9">
        <v>145</v>
      </c>
      <c r="K13" s="9">
        <v>173</v>
      </c>
      <c r="L13" s="9">
        <v>204</v>
      </c>
    </row>
    <row r="14" spans="1:12" x14ac:dyDescent="0.25">
      <c r="A14" s="63">
        <v>2015</v>
      </c>
      <c r="B14" s="67">
        <v>23</v>
      </c>
      <c r="C14" s="9"/>
      <c r="D14" s="9"/>
      <c r="E14" s="9">
        <v>83</v>
      </c>
      <c r="F14" s="9">
        <v>85</v>
      </c>
      <c r="G14" s="9">
        <v>94</v>
      </c>
      <c r="H14" s="9">
        <v>112</v>
      </c>
      <c r="I14" s="9">
        <v>122</v>
      </c>
      <c r="J14" s="9">
        <v>136</v>
      </c>
      <c r="K14" s="9">
        <v>163</v>
      </c>
      <c r="L14" s="9">
        <v>289</v>
      </c>
    </row>
    <row r="15" spans="1:12" x14ac:dyDescent="0.25">
      <c r="A15" s="63">
        <v>2014</v>
      </c>
      <c r="B15" s="67">
        <v>30</v>
      </c>
      <c r="C15" s="9"/>
      <c r="D15" s="9">
        <v>108</v>
      </c>
      <c r="E15" s="9">
        <v>109</v>
      </c>
      <c r="F15" s="9">
        <v>115</v>
      </c>
      <c r="G15" s="9">
        <v>125</v>
      </c>
      <c r="H15" s="9">
        <v>140</v>
      </c>
      <c r="I15" s="9">
        <v>144</v>
      </c>
      <c r="J15" s="9">
        <v>155</v>
      </c>
      <c r="K15" s="9">
        <v>182</v>
      </c>
      <c r="L15" s="9">
        <v>208</v>
      </c>
    </row>
    <row r="16" spans="1:12" x14ac:dyDescent="0.25">
      <c r="A16" s="63" t="s">
        <v>224</v>
      </c>
      <c r="B16" s="67">
        <v>633</v>
      </c>
      <c r="C16" s="9">
        <v>160</v>
      </c>
      <c r="D16" s="9">
        <v>167</v>
      </c>
      <c r="E16" s="9">
        <v>168</v>
      </c>
      <c r="F16" s="9">
        <v>167</v>
      </c>
      <c r="G16" s="9">
        <v>173</v>
      </c>
      <c r="H16" s="9">
        <v>186</v>
      </c>
      <c r="I16" s="9">
        <v>193</v>
      </c>
      <c r="J16" s="9">
        <v>203</v>
      </c>
      <c r="K16" s="9">
        <v>230</v>
      </c>
      <c r="L16" s="9">
        <v>261</v>
      </c>
    </row>
    <row r="17" spans="1:12" x14ac:dyDescent="0.25">
      <c r="A17" s="63" t="s">
        <v>225</v>
      </c>
      <c r="B17" s="67">
        <v>838</v>
      </c>
      <c r="C17" s="9">
        <v>160</v>
      </c>
      <c r="D17" s="9">
        <v>164</v>
      </c>
      <c r="E17" s="9">
        <v>162</v>
      </c>
      <c r="F17" s="9">
        <v>159</v>
      </c>
      <c r="G17" s="9">
        <v>163</v>
      </c>
      <c r="H17" s="9">
        <v>176</v>
      </c>
      <c r="I17" s="9">
        <v>182</v>
      </c>
      <c r="J17" s="9">
        <v>192</v>
      </c>
      <c r="K17" s="9">
        <v>217</v>
      </c>
      <c r="L17" s="9">
        <v>245</v>
      </c>
    </row>
    <row r="18" spans="1:12" x14ac:dyDescent="0.25">
      <c r="C18" s="65">
        <v>2013</v>
      </c>
      <c r="D18" s="65">
        <v>2014</v>
      </c>
      <c r="E18" s="65">
        <v>2015</v>
      </c>
      <c r="F18" s="65">
        <v>2016</v>
      </c>
      <c r="G18" s="65">
        <v>2017</v>
      </c>
      <c r="H18" s="65">
        <v>2018</v>
      </c>
      <c r="I18" s="65">
        <v>2019</v>
      </c>
      <c r="J18" s="65">
        <v>2020</v>
      </c>
      <c r="K18" s="65">
        <v>2021</v>
      </c>
      <c r="L18" s="65">
        <v>2022</v>
      </c>
    </row>
    <row r="21" spans="1:12" x14ac:dyDescent="0.25">
      <c r="A21" s="64" t="s">
        <v>222</v>
      </c>
      <c r="B21" s="64" t="s">
        <v>223</v>
      </c>
      <c r="C21" s="96" t="s">
        <v>228</v>
      </c>
      <c r="D21" s="96"/>
      <c r="E21" s="96"/>
      <c r="F21" s="96"/>
      <c r="G21" s="96"/>
      <c r="H21" s="96"/>
      <c r="I21" s="96"/>
      <c r="J21" s="96"/>
      <c r="K21" s="96"/>
      <c r="L21" s="96"/>
    </row>
    <row r="22" spans="1:12" x14ac:dyDescent="0.25">
      <c r="A22" s="63">
        <v>2022</v>
      </c>
      <c r="B22" s="66">
        <v>23</v>
      </c>
      <c r="C22" s="14"/>
      <c r="D22" s="14"/>
      <c r="E22" s="14"/>
      <c r="F22" s="14"/>
      <c r="G22" s="14"/>
      <c r="H22" s="14"/>
      <c r="I22" s="14"/>
      <c r="J22" s="14"/>
      <c r="K22" s="14"/>
      <c r="L22" s="14">
        <f>L7/$L$17</f>
        <v>0.61224489795918369</v>
      </c>
    </row>
    <row r="23" spans="1:12" x14ac:dyDescent="0.25">
      <c r="A23" s="63">
        <v>2021</v>
      </c>
      <c r="B23" s="67">
        <v>20</v>
      </c>
      <c r="C23" s="14"/>
      <c r="D23" s="14"/>
      <c r="E23" s="14"/>
      <c r="F23" s="14"/>
      <c r="G23" s="14"/>
      <c r="H23" s="14"/>
      <c r="I23" s="14"/>
      <c r="J23" s="14"/>
      <c r="K23" s="14">
        <f>K8/$K$17</f>
        <v>0.64516129032258063</v>
      </c>
      <c r="L23" s="14">
        <f t="shared" ref="L23:L32" si="0">L8/$L$17</f>
        <v>0.64489795918367343</v>
      </c>
    </row>
    <row r="24" spans="1:12" x14ac:dyDescent="0.25">
      <c r="A24" s="63">
        <v>2020</v>
      </c>
      <c r="B24" s="67">
        <v>13</v>
      </c>
      <c r="C24" s="14"/>
      <c r="D24" s="14"/>
      <c r="E24" s="14"/>
      <c r="F24" s="14"/>
      <c r="G24" s="14"/>
      <c r="H24" s="14"/>
      <c r="I24" s="14"/>
      <c r="J24" s="14">
        <f>J9/$J$17</f>
        <v>0.6875</v>
      </c>
      <c r="K24" s="14">
        <f t="shared" ref="K24:K32" si="1">K9/$K$17</f>
        <v>0.70046082949308752</v>
      </c>
      <c r="L24" s="14">
        <f t="shared" si="0"/>
        <v>0.75102040816326532</v>
      </c>
    </row>
    <row r="25" spans="1:12" x14ac:dyDescent="0.25">
      <c r="A25" s="63">
        <v>2019</v>
      </c>
      <c r="B25" s="67">
        <v>20</v>
      </c>
      <c r="C25" s="14"/>
      <c r="D25" s="14"/>
      <c r="E25" s="14"/>
      <c r="F25" s="14"/>
      <c r="G25" s="14"/>
      <c r="H25" s="14"/>
      <c r="I25" s="14">
        <f>I10/$I$17</f>
        <v>0.70879120879120883</v>
      </c>
      <c r="J25" s="14">
        <f t="shared" ref="J25:J32" si="2">J10/$J$17</f>
        <v>0.71875</v>
      </c>
      <c r="K25" s="14">
        <f t="shared" si="1"/>
        <v>0.79262672811059909</v>
      </c>
      <c r="L25" s="14">
        <f t="shared" si="0"/>
        <v>0.84897959183673466</v>
      </c>
    </row>
    <row r="26" spans="1:12" x14ac:dyDescent="0.25">
      <c r="A26" s="63">
        <v>2018</v>
      </c>
      <c r="B26" s="67">
        <v>21</v>
      </c>
      <c r="C26" s="14"/>
      <c r="D26" s="14"/>
      <c r="E26" s="14"/>
      <c r="F26" s="14"/>
      <c r="G26" s="14"/>
      <c r="H26" s="14">
        <f>H11/$H$17</f>
        <v>0.65909090909090906</v>
      </c>
      <c r="I26" s="14">
        <f t="shared" ref="I26:I32" si="3">I11/$I$17</f>
        <v>0.65384615384615385</v>
      </c>
      <c r="J26" s="14">
        <f t="shared" si="2"/>
        <v>0.734375</v>
      </c>
      <c r="K26" s="14">
        <f t="shared" si="1"/>
        <v>0.79262672811059909</v>
      </c>
      <c r="L26" s="14">
        <f t="shared" si="0"/>
        <v>0.82448979591836735</v>
      </c>
    </row>
    <row r="27" spans="1:12" x14ac:dyDescent="0.25">
      <c r="A27" s="63">
        <v>2017</v>
      </c>
      <c r="B27" s="67">
        <v>26</v>
      </c>
      <c r="C27" s="14"/>
      <c r="D27" s="14"/>
      <c r="E27" s="14"/>
      <c r="F27" s="14"/>
      <c r="G27" s="14">
        <f>G12/$G$17</f>
        <v>0.74233128834355833</v>
      </c>
      <c r="H27" s="14">
        <f t="shared" ref="H27:H32" si="4">H12/$H$17</f>
        <v>0.80681818181818177</v>
      </c>
      <c r="I27" s="14">
        <f t="shared" si="3"/>
        <v>0.86813186813186816</v>
      </c>
      <c r="J27" s="14">
        <f t="shared" si="2"/>
        <v>0.91666666666666663</v>
      </c>
      <c r="K27" s="14">
        <f t="shared" si="1"/>
        <v>0.94930875576036866</v>
      </c>
      <c r="L27" s="14">
        <f t="shared" si="0"/>
        <v>0.96734693877551026</v>
      </c>
    </row>
    <row r="28" spans="1:12" x14ac:dyDescent="0.25">
      <c r="A28" s="63">
        <v>2016</v>
      </c>
      <c r="B28" s="67">
        <v>29</v>
      </c>
      <c r="C28" s="14"/>
      <c r="D28" s="14"/>
      <c r="E28" s="14"/>
      <c r="F28" s="14">
        <f>F13/$F$17</f>
        <v>0.54716981132075471</v>
      </c>
      <c r="G28" s="14">
        <f t="shared" ref="G28:G32" si="5">G13/$G$17</f>
        <v>0.59509202453987731</v>
      </c>
      <c r="H28" s="14">
        <f t="shared" si="4"/>
        <v>0.67045454545454541</v>
      </c>
      <c r="I28" s="14">
        <f t="shared" si="3"/>
        <v>0.71978021978021978</v>
      </c>
      <c r="J28" s="14">
        <f>J13/$J$17</f>
        <v>0.75520833333333337</v>
      </c>
      <c r="K28" s="14">
        <f t="shared" si="1"/>
        <v>0.79723502304147464</v>
      </c>
      <c r="L28" s="14">
        <f t="shared" si="0"/>
        <v>0.83265306122448979</v>
      </c>
    </row>
    <row r="29" spans="1:12" x14ac:dyDescent="0.25">
      <c r="A29" s="63">
        <v>2015</v>
      </c>
      <c r="B29" s="67">
        <v>23</v>
      </c>
      <c r="C29" s="14"/>
      <c r="D29" s="14"/>
      <c r="E29" s="14">
        <f>E14/$E$17</f>
        <v>0.51234567901234573</v>
      </c>
      <c r="F29" s="14">
        <f t="shared" ref="F29:F32" si="6">F14/$F$17</f>
        <v>0.53459119496855345</v>
      </c>
      <c r="G29" s="14">
        <f t="shared" si="5"/>
        <v>0.57668711656441718</v>
      </c>
      <c r="H29" s="14">
        <f t="shared" si="4"/>
        <v>0.63636363636363635</v>
      </c>
      <c r="I29" s="14">
        <f t="shared" si="3"/>
        <v>0.67032967032967028</v>
      </c>
      <c r="J29" s="14">
        <f t="shared" si="2"/>
        <v>0.70833333333333337</v>
      </c>
      <c r="K29" s="14">
        <f>K14/$K$17</f>
        <v>0.75115207373271886</v>
      </c>
      <c r="L29" s="14">
        <f t="shared" si="0"/>
        <v>1.1795918367346938</v>
      </c>
    </row>
    <row r="30" spans="1:12" x14ac:dyDescent="0.25">
      <c r="A30" s="63">
        <v>2014</v>
      </c>
      <c r="B30" s="67">
        <v>30</v>
      </c>
      <c r="C30" s="14"/>
      <c r="D30" s="14">
        <f>D15/$D$17</f>
        <v>0.65853658536585369</v>
      </c>
      <c r="E30" s="14">
        <f t="shared" ref="E30:E32" si="7">E15/$E$17</f>
        <v>0.6728395061728395</v>
      </c>
      <c r="F30" s="14">
        <f t="shared" si="6"/>
        <v>0.72327044025157228</v>
      </c>
      <c r="G30" s="14">
        <f t="shared" si="5"/>
        <v>0.76687116564417179</v>
      </c>
      <c r="H30" s="14">
        <f t="shared" si="4"/>
        <v>0.79545454545454541</v>
      </c>
      <c r="I30" s="14">
        <f t="shared" si="3"/>
        <v>0.79120879120879117</v>
      </c>
      <c r="J30" s="14">
        <f t="shared" si="2"/>
        <v>0.80729166666666663</v>
      </c>
      <c r="K30" s="14">
        <f t="shared" si="1"/>
        <v>0.83870967741935487</v>
      </c>
      <c r="L30" s="14">
        <f t="shared" si="0"/>
        <v>0.84897959183673466</v>
      </c>
    </row>
    <row r="31" spans="1:12" x14ac:dyDescent="0.25">
      <c r="A31" s="63" t="s">
        <v>224</v>
      </c>
      <c r="B31" s="67">
        <v>633</v>
      </c>
      <c r="C31" s="14">
        <f>C16/$C$17</f>
        <v>1</v>
      </c>
      <c r="D31" s="14">
        <f t="shared" ref="D31:D32" si="8">D16/$D$17</f>
        <v>1.0182926829268293</v>
      </c>
      <c r="E31" s="14">
        <f t="shared" si="7"/>
        <v>1.037037037037037</v>
      </c>
      <c r="F31" s="14">
        <f t="shared" si="6"/>
        <v>1.050314465408805</v>
      </c>
      <c r="G31" s="14">
        <f t="shared" si="5"/>
        <v>1.0613496932515338</v>
      </c>
      <c r="H31" s="14">
        <f t="shared" si="4"/>
        <v>1.0568181818181819</v>
      </c>
      <c r="I31" s="14">
        <f t="shared" si="3"/>
        <v>1.0604395604395604</v>
      </c>
      <c r="J31" s="14">
        <f t="shared" si="2"/>
        <v>1.0572916666666667</v>
      </c>
      <c r="K31" s="14">
        <f t="shared" si="1"/>
        <v>1.0599078341013826</v>
      </c>
      <c r="L31" s="14">
        <f t="shared" si="0"/>
        <v>1.0653061224489795</v>
      </c>
    </row>
    <row r="32" spans="1:12" x14ac:dyDescent="0.25">
      <c r="A32" s="63" t="s">
        <v>225</v>
      </c>
      <c r="B32" s="67">
        <v>838</v>
      </c>
      <c r="C32" s="14">
        <f>C17/$C$17</f>
        <v>1</v>
      </c>
      <c r="D32" s="14">
        <f t="shared" si="8"/>
        <v>1</v>
      </c>
      <c r="E32" s="14">
        <f t="shared" si="7"/>
        <v>1</v>
      </c>
      <c r="F32" s="14">
        <f t="shared" si="6"/>
        <v>1</v>
      </c>
      <c r="G32" s="14">
        <f t="shared" si="5"/>
        <v>1</v>
      </c>
      <c r="H32" s="14">
        <f t="shared" si="4"/>
        <v>1</v>
      </c>
      <c r="I32" s="14">
        <f t="shared" si="3"/>
        <v>1</v>
      </c>
      <c r="J32" s="14">
        <f t="shared" si="2"/>
        <v>1</v>
      </c>
      <c r="K32" s="14">
        <f t="shared" si="1"/>
        <v>1</v>
      </c>
      <c r="L32" s="14">
        <f t="shared" si="0"/>
        <v>1</v>
      </c>
    </row>
    <row r="33" spans="3:12" x14ac:dyDescent="0.25">
      <c r="C33" s="65">
        <v>2013</v>
      </c>
      <c r="D33" s="65">
        <v>2014</v>
      </c>
      <c r="E33" s="65">
        <v>2015</v>
      </c>
      <c r="F33" s="65">
        <v>2016</v>
      </c>
      <c r="G33" s="65">
        <v>2017</v>
      </c>
      <c r="H33" s="65">
        <v>2018</v>
      </c>
      <c r="I33" s="65">
        <v>2019</v>
      </c>
      <c r="J33" s="65">
        <v>2020</v>
      </c>
      <c r="K33" s="65">
        <v>2021</v>
      </c>
      <c r="L33" s="65">
        <v>2022</v>
      </c>
    </row>
  </sheetData>
  <mergeCells count="3">
    <mergeCell ref="A1:C1"/>
    <mergeCell ref="C6:L6"/>
    <mergeCell ref="C21:L2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A6F7D-CD2E-7C4F-948F-E30F49D82772}">
  <dimension ref="A1:E24"/>
  <sheetViews>
    <sheetView workbookViewId="0">
      <selection sqref="A1:C1"/>
    </sheetView>
  </sheetViews>
  <sheetFormatPr baseColWidth="10" defaultRowHeight="19" x14ac:dyDescent="0.25"/>
  <cols>
    <col min="1" max="1" width="25" style="1" customWidth="1"/>
    <col min="2" max="5" width="19" style="1" customWidth="1"/>
    <col min="6" max="16384" width="10.83203125" style="1"/>
  </cols>
  <sheetData>
    <row r="1" spans="1:5" ht="24" x14ac:dyDescent="0.3">
      <c r="A1" s="86" t="s">
        <v>244</v>
      </c>
      <c r="B1" s="86"/>
      <c r="C1" s="86"/>
    </row>
    <row r="2" spans="1:5" x14ac:dyDescent="0.25">
      <c r="A2" s="22" t="s">
        <v>245</v>
      </c>
    </row>
    <row r="3" spans="1:5" x14ac:dyDescent="0.25">
      <c r="A3" s="103" t="s">
        <v>246</v>
      </c>
      <c r="B3" s="100" t="s">
        <v>247</v>
      </c>
      <c r="C3" s="100"/>
      <c r="D3" s="101" t="s">
        <v>248</v>
      </c>
      <c r="E3" s="102"/>
    </row>
    <row r="4" spans="1:5" x14ac:dyDescent="0.25">
      <c r="A4" s="104"/>
      <c r="B4" s="68" t="s">
        <v>250</v>
      </c>
      <c r="C4" s="68" t="s">
        <v>251</v>
      </c>
      <c r="D4" s="77" t="s">
        <v>250</v>
      </c>
      <c r="E4" s="81" t="s">
        <v>251</v>
      </c>
    </row>
    <row r="5" spans="1:5" x14ac:dyDescent="0.25">
      <c r="A5" s="83" t="s">
        <v>78</v>
      </c>
      <c r="B5" s="78">
        <v>60</v>
      </c>
      <c r="C5" s="78">
        <v>60</v>
      </c>
      <c r="D5" s="78">
        <v>120</v>
      </c>
      <c r="E5" s="82">
        <v>120</v>
      </c>
    </row>
    <row r="6" spans="1:5" x14ac:dyDescent="0.25">
      <c r="A6" s="83" t="s">
        <v>79</v>
      </c>
      <c r="B6" s="78" t="s">
        <v>253</v>
      </c>
      <c r="C6" s="78">
        <v>43.21</v>
      </c>
      <c r="D6" s="78" t="s">
        <v>254</v>
      </c>
      <c r="E6" s="82">
        <v>86.43</v>
      </c>
    </row>
    <row r="7" spans="1:5" x14ac:dyDescent="0.25">
      <c r="A7" s="83" t="s">
        <v>81</v>
      </c>
      <c r="B7" s="78" t="s">
        <v>255</v>
      </c>
      <c r="C7" s="78">
        <v>24.91</v>
      </c>
      <c r="D7" s="78" t="s">
        <v>256</v>
      </c>
      <c r="E7" s="82">
        <v>54.8</v>
      </c>
    </row>
    <row r="8" spans="1:5" x14ac:dyDescent="0.25">
      <c r="A8" s="83" t="s">
        <v>82</v>
      </c>
      <c r="B8" s="79" t="s">
        <v>257</v>
      </c>
      <c r="C8" s="78">
        <v>32.54</v>
      </c>
      <c r="D8" s="79" t="s">
        <v>258</v>
      </c>
      <c r="E8" s="82">
        <v>66.55</v>
      </c>
    </row>
    <row r="9" spans="1:5" x14ac:dyDescent="0.25">
      <c r="A9" s="83" t="s">
        <v>83</v>
      </c>
      <c r="B9" s="78" t="s">
        <v>259</v>
      </c>
      <c r="C9" s="78">
        <v>37.54</v>
      </c>
      <c r="D9" s="78" t="s">
        <v>260</v>
      </c>
      <c r="E9" s="82">
        <v>83.12</v>
      </c>
    </row>
    <row r="10" spans="1:5" x14ac:dyDescent="0.25">
      <c r="A10" s="83" t="s">
        <v>249</v>
      </c>
      <c r="B10" s="78" t="s">
        <v>269</v>
      </c>
      <c r="C10" s="78">
        <v>22.89</v>
      </c>
      <c r="D10" s="78" t="s">
        <v>261</v>
      </c>
      <c r="E10" s="82">
        <v>55.49</v>
      </c>
    </row>
    <row r="11" spans="1:5" x14ac:dyDescent="0.25">
      <c r="A11" s="83" t="s">
        <v>85</v>
      </c>
      <c r="B11" s="78" t="s">
        <v>262</v>
      </c>
      <c r="C11" s="78">
        <v>42.22</v>
      </c>
      <c r="D11" s="78" t="s">
        <v>263</v>
      </c>
      <c r="E11" s="82">
        <v>93.82</v>
      </c>
    </row>
    <row r="12" spans="1:5" x14ac:dyDescent="0.25">
      <c r="A12" s="83" t="s">
        <v>86</v>
      </c>
      <c r="B12" s="78" t="s">
        <v>264</v>
      </c>
      <c r="C12" s="78">
        <v>37.18</v>
      </c>
      <c r="D12" s="105" t="s">
        <v>252</v>
      </c>
      <c r="E12" s="106"/>
    </row>
    <row r="13" spans="1:5" x14ac:dyDescent="0.25">
      <c r="A13" s="83" t="s">
        <v>87</v>
      </c>
      <c r="B13" s="80" t="s">
        <v>265</v>
      </c>
      <c r="C13" s="78">
        <v>35.29</v>
      </c>
      <c r="D13" s="105"/>
      <c r="E13" s="106"/>
    </row>
    <row r="14" spans="1:5" x14ac:dyDescent="0.25">
      <c r="A14" s="83" t="s">
        <v>88</v>
      </c>
      <c r="B14" s="80" t="s">
        <v>266</v>
      </c>
      <c r="C14" s="78">
        <v>35</v>
      </c>
      <c r="D14" s="105"/>
      <c r="E14" s="106"/>
    </row>
    <row r="15" spans="1:5" x14ac:dyDescent="0.25">
      <c r="A15" s="83" t="s">
        <v>89</v>
      </c>
      <c r="B15" s="78" t="s">
        <v>267</v>
      </c>
      <c r="C15" s="78">
        <v>41.58</v>
      </c>
      <c r="D15" s="105"/>
      <c r="E15" s="106"/>
    </row>
    <row r="16" spans="1:5" x14ac:dyDescent="0.25">
      <c r="A16" s="83" t="s">
        <v>90</v>
      </c>
      <c r="B16" s="78" t="s">
        <v>268</v>
      </c>
      <c r="C16" s="78">
        <v>33.200000000000003</v>
      </c>
      <c r="D16" s="105"/>
      <c r="E16" s="106"/>
    </row>
    <row r="17" spans="1:5" x14ac:dyDescent="0.25">
      <c r="A17" s="97" t="s">
        <v>270</v>
      </c>
      <c r="B17" s="98"/>
      <c r="C17" s="98"/>
      <c r="D17" s="98"/>
      <c r="E17" s="99"/>
    </row>
    <row r="18" spans="1:5" x14ac:dyDescent="0.25">
      <c r="B18" s="13"/>
      <c r="C18" s="13"/>
      <c r="D18" s="13"/>
      <c r="E18" s="13"/>
    </row>
    <row r="19" spans="1:5" x14ac:dyDescent="0.25">
      <c r="B19" s="13"/>
      <c r="C19" s="13"/>
      <c r="D19" s="13"/>
      <c r="E19" s="13"/>
    </row>
    <row r="20" spans="1:5" x14ac:dyDescent="0.25">
      <c r="B20" s="13"/>
      <c r="C20" s="13"/>
      <c r="D20" s="13"/>
      <c r="E20" s="13"/>
    </row>
    <row r="21" spans="1:5" x14ac:dyDescent="0.25">
      <c r="B21" s="13"/>
      <c r="C21" s="13"/>
      <c r="D21" s="13"/>
      <c r="E21" s="13"/>
    </row>
    <row r="22" spans="1:5" x14ac:dyDescent="0.25">
      <c r="B22" s="13"/>
      <c r="C22" s="13"/>
      <c r="D22" s="13"/>
      <c r="E22" s="13"/>
    </row>
    <row r="23" spans="1:5" x14ac:dyDescent="0.25">
      <c r="B23" s="13"/>
      <c r="C23" s="13"/>
      <c r="D23" s="13"/>
      <c r="E23" s="13"/>
    </row>
    <row r="24" spans="1:5" x14ac:dyDescent="0.25">
      <c r="B24" s="13"/>
      <c r="C24" s="13"/>
      <c r="D24" s="13"/>
      <c r="E24" s="13"/>
    </row>
  </sheetData>
  <mergeCells count="6">
    <mergeCell ref="A17:E17"/>
    <mergeCell ref="A1:C1"/>
    <mergeCell ref="B3:C3"/>
    <mergeCell ref="D3:E3"/>
    <mergeCell ref="A3:A4"/>
    <mergeCell ref="D12:E16"/>
  </mergeCells>
  <pageMargins left="0.7" right="0.7" top="0.75" bottom="0.75" header="0.3" footer="0.3"/>
  <ignoredErrors>
    <ignoredError sqref="B13:B1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B0902-E8EE-D143-9DED-A5B7342A0A07}">
  <dimension ref="A1"/>
  <sheetViews>
    <sheetView workbookViewId="0">
      <selection activeCell="A54" sqref="A54"/>
    </sheetView>
  </sheetViews>
  <sheetFormatPr baseColWidth="10" defaultRowHeight="1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TERMS OF USE</vt:lpstr>
      <vt:lpstr>Balance Sheet</vt:lpstr>
      <vt:lpstr>Operating Summary &amp; Stats</vt:lpstr>
      <vt:lpstr>Cash Flow Analysis</vt:lpstr>
      <vt:lpstr>New Warehouse Ramp-Up</vt:lpstr>
      <vt:lpstr>Membership Dues</vt:lpstr>
      <vt:lpstr>Charts</vt:lpstr>
    </vt:vector>
  </TitlesOfParts>
  <Manager/>
  <Company>The Rational Walk 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Costco Wholesale Corporation</dc:title>
  <dc:subject/>
  <dc:creator>The Rational Walk LLC</dc:creator>
  <cp:keywords/>
  <dc:description/>
  <cp:lastModifiedBy>The Rational Walk LLC</cp:lastModifiedBy>
  <cp:lastPrinted>2010-01-09T02:34:21Z</cp:lastPrinted>
  <dcterms:created xsi:type="dcterms:W3CDTF">2009-09-17T14:10:19Z</dcterms:created>
  <dcterms:modified xsi:type="dcterms:W3CDTF">2022-10-25T22:00:36Z</dcterms:modified>
  <cp:category/>
</cp:coreProperties>
</file>