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24226"/>
  <mc:AlternateContent xmlns:mc="http://schemas.openxmlformats.org/markup-compatibility/2006">
    <mc:Choice Requires="x15">
      <x15ac:absPath xmlns:x15ac="http://schemas.microsoft.com/office/spreadsheetml/2010/11/ac" url="/Users/ravi/Library/CloudStorage/OneDrive-Personal/Work Files/Company Research/Rational Reflections Write-Ups/Investors Title/"/>
    </mc:Choice>
  </mc:AlternateContent>
  <xr:revisionPtr revIDLastSave="0" documentId="13_ncr:1_{0EE5DF3E-B9FC-B347-8149-0FE469D18CB0}" xr6:coauthVersionLast="47" xr6:coauthVersionMax="47" xr10:uidLastSave="{00000000-0000-0000-0000-000000000000}"/>
  <bookViews>
    <workbookView xWindow="0" yWindow="500" windowWidth="28800" windowHeight="16260" tabRatio="911" xr2:uid="{00000000-000D-0000-FFFF-FFFF00000000}"/>
  </bookViews>
  <sheets>
    <sheet name="TERMS OF USE" sheetId="10" r:id="rId1"/>
    <sheet name="Balance Sheet Analysis" sheetId="5" r:id="rId2"/>
    <sheet name="Operating History Analysis" sheetId="1" r:id="rId3"/>
    <sheet name="Key Data" sheetId="9" r:id="rId4"/>
    <sheet name="Regional Breakdown" sheetId="2" r:id="rId5"/>
    <sheet name="Real Estate Assets (2010)" sheetId="3"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4" i="5" l="1"/>
  <c r="B76" i="5"/>
  <c r="B63" i="1"/>
  <c r="E68" i="2"/>
  <c r="C67" i="2"/>
  <c r="C65" i="2"/>
  <c r="C70" i="2" s="1"/>
  <c r="D65" i="2"/>
  <c r="E65" i="2"/>
  <c r="F65" i="2"/>
  <c r="C66" i="2"/>
  <c r="D66" i="2"/>
  <c r="D70" i="2" s="1"/>
  <c r="E66" i="2"/>
  <c r="E70" i="2" s="1"/>
  <c r="F66" i="2"/>
  <c r="F70" i="2" s="1"/>
  <c r="D67" i="2"/>
  <c r="E67" i="2"/>
  <c r="F67" i="2"/>
  <c r="C68" i="2"/>
  <c r="D68" i="2"/>
  <c r="F68" i="2"/>
  <c r="C69" i="2"/>
  <c r="D69" i="2"/>
  <c r="E69" i="2"/>
  <c r="F69" i="2"/>
  <c r="B66" i="2"/>
  <c r="B67" i="2"/>
  <c r="B68" i="2"/>
  <c r="B69" i="2"/>
  <c r="B65" i="2"/>
  <c r="C63" i="2"/>
  <c r="D63" i="2"/>
  <c r="E63" i="2"/>
  <c r="F63" i="2"/>
  <c r="B63" i="2"/>
  <c r="F62" i="2"/>
  <c r="E62" i="2"/>
  <c r="D62" i="2"/>
  <c r="C62" i="2"/>
  <c r="C60" i="2"/>
  <c r="D60" i="2"/>
  <c r="E60" i="2"/>
  <c r="F60" i="2"/>
  <c r="C58" i="2"/>
  <c r="D58" i="2"/>
  <c r="E58" i="2"/>
  <c r="F58" i="2"/>
  <c r="C61" i="2"/>
  <c r="D61" i="2"/>
  <c r="E61" i="2"/>
  <c r="F61" i="2"/>
  <c r="C59" i="2"/>
  <c r="D59" i="2"/>
  <c r="E59" i="2"/>
  <c r="F59" i="2"/>
  <c r="B62" i="2"/>
  <c r="B59" i="2"/>
  <c r="B61" i="2"/>
  <c r="B58" i="2"/>
  <c r="B60" i="2"/>
  <c r="B70" i="2" l="1"/>
  <c r="B67" i="9"/>
  <c r="C65" i="9"/>
  <c r="D65" i="9"/>
  <c r="E65" i="9"/>
  <c r="F65" i="9"/>
  <c r="G65" i="9"/>
  <c r="H65" i="9"/>
  <c r="I65" i="9"/>
  <c r="J65" i="9"/>
  <c r="K65" i="9"/>
  <c r="L65" i="9"/>
  <c r="M65" i="9"/>
  <c r="N65" i="9"/>
  <c r="O65" i="9"/>
  <c r="P65" i="9"/>
  <c r="Q65" i="9"/>
  <c r="R65" i="9"/>
  <c r="S65" i="9"/>
  <c r="T65" i="9"/>
  <c r="U65" i="9"/>
  <c r="V65" i="9"/>
  <c r="B65" i="9"/>
  <c r="D61" i="9"/>
  <c r="E61" i="9"/>
  <c r="F61" i="9"/>
  <c r="G61" i="9"/>
  <c r="H61" i="9"/>
  <c r="I61" i="9"/>
  <c r="J61" i="9"/>
  <c r="K61" i="9"/>
  <c r="K67" i="9" s="1"/>
  <c r="L61" i="9"/>
  <c r="M61" i="9"/>
  <c r="N61" i="9"/>
  <c r="O61" i="9"/>
  <c r="P61" i="9"/>
  <c r="Q61" i="9"/>
  <c r="R61" i="9"/>
  <c r="S61" i="9"/>
  <c r="T61" i="9"/>
  <c r="U61" i="9"/>
  <c r="V61" i="9"/>
  <c r="C61" i="9"/>
  <c r="C67" i="9" s="1"/>
  <c r="B61" i="9"/>
  <c r="C54" i="9"/>
  <c r="D54" i="9"/>
  <c r="E54" i="9"/>
  <c r="F54" i="9"/>
  <c r="G54" i="9"/>
  <c r="H54" i="9"/>
  <c r="I54" i="9"/>
  <c r="J54" i="9"/>
  <c r="K54" i="9"/>
  <c r="L54" i="9"/>
  <c r="M54" i="9"/>
  <c r="N54" i="9"/>
  <c r="O54" i="9"/>
  <c r="P54" i="9"/>
  <c r="Q54" i="9"/>
  <c r="B54" i="9"/>
  <c r="V67" i="9" l="1"/>
  <c r="U67" i="9"/>
  <c r="T67" i="9"/>
  <c r="S67" i="9"/>
  <c r="R67" i="9"/>
  <c r="Q67" i="9"/>
  <c r="P67" i="9"/>
  <c r="O67" i="9"/>
  <c r="N67" i="9"/>
  <c r="M67" i="9"/>
  <c r="L67" i="9"/>
  <c r="J67" i="9"/>
  <c r="I67" i="9"/>
  <c r="H67" i="9"/>
  <c r="G67" i="9"/>
  <c r="F67" i="9"/>
  <c r="E67" i="9"/>
  <c r="D67" i="9"/>
  <c r="Q52" i="9"/>
  <c r="R52" i="9"/>
  <c r="S52" i="9"/>
  <c r="T52" i="9"/>
  <c r="U52" i="9"/>
  <c r="V52" i="9"/>
  <c r="U49" i="9"/>
  <c r="V49" i="9"/>
  <c r="S49" i="9"/>
  <c r="T49" i="9"/>
  <c r="P44" i="9"/>
  <c r="P52" i="9" s="1"/>
  <c r="Q44" i="9"/>
  <c r="P48" i="9"/>
  <c r="Q48" i="9"/>
  <c r="R49" i="9" l="1"/>
  <c r="Q49" i="9"/>
  <c r="P49" i="9"/>
  <c r="C48" i="9"/>
  <c r="D48" i="9"/>
  <c r="E48" i="9"/>
  <c r="F48" i="9"/>
  <c r="G48" i="9"/>
  <c r="H48" i="9"/>
  <c r="I48" i="9"/>
  <c r="J48" i="9"/>
  <c r="K48" i="9"/>
  <c r="L48" i="9"/>
  <c r="M48" i="9"/>
  <c r="N48" i="9"/>
  <c r="O48" i="9"/>
  <c r="B48" i="9"/>
  <c r="C44" i="9"/>
  <c r="C52" i="9" s="1"/>
  <c r="D44" i="9"/>
  <c r="D52" i="9" s="1"/>
  <c r="E44" i="9"/>
  <c r="E52" i="9" s="1"/>
  <c r="F44" i="9"/>
  <c r="F52" i="9" s="1"/>
  <c r="G44" i="9"/>
  <c r="G52" i="9" s="1"/>
  <c r="H44" i="9"/>
  <c r="H52" i="9" s="1"/>
  <c r="I44" i="9"/>
  <c r="I52" i="9" s="1"/>
  <c r="J44" i="9"/>
  <c r="J52" i="9" s="1"/>
  <c r="K44" i="9"/>
  <c r="K52" i="9" s="1"/>
  <c r="L44" i="9"/>
  <c r="L52" i="9" s="1"/>
  <c r="M44" i="9"/>
  <c r="M52" i="9" s="1"/>
  <c r="N44" i="9"/>
  <c r="N52" i="9" s="1"/>
  <c r="O44" i="9"/>
  <c r="O52" i="9" s="1"/>
  <c r="B44" i="9"/>
  <c r="B52" i="9" s="1"/>
  <c r="O37" i="9"/>
  <c r="C37" i="9"/>
  <c r="D37" i="9"/>
  <c r="E37" i="9"/>
  <c r="F37" i="9"/>
  <c r="G37" i="9"/>
  <c r="H37" i="9"/>
  <c r="I37" i="9"/>
  <c r="J37" i="9"/>
  <c r="K37" i="9"/>
  <c r="L37" i="9"/>
  <c r="M37" i="9"/>
  <c r="N37" i="9"/>
  <c r="B37" i="9"/>
  <c r="B37" i="3"/>
  <c r="O49" i="9" l="1"/>
  <c r="N49" i="9"/>
  <c r="M49" i="9"/>
  <c r="L49" i="9"/>
  <c r="K49" i="9"/>
  <c r="J49" i="9"/>
  <c r="I49" i="9"/>
  <c r="H49" i="9"/>
  <c r="G49" i="9"/>
  <c r="F49" i="9"/>
  <c r="E49" i="9"/>
  <c r="D49" i="9"/>
  <c r="C49" i="9"/>
  <c r="B49" i="9"/>
  <c r="I32" i="2"/>
  <c r="I35" i="2" s="1"/>
  <c r="B32" i="2"/>
  <c r="B35" i="2" s="1"/>
  <c r="C32" i="2"/>
  <c r="C35" i="2" s="1"/>
  <c r="D32" i="2"/>
  <c r="D35" i="2" s="1"/>
  <c r="E32" i="2"/>
  <c r="E35" i="2" s="1"/>
  <c r="F32" i="2"/>
  <c r="F35" i="2" s="1"/>
  <c r="G32" i="2"/>
  <c r="G35" i="2" s="1"/>
  <c r="H32" i="2"/>
  <c r="H35" i="2" s="1"/>
  <c r="B22" i="9"/>
  <c r="C22" i="9"/>
  <c r="D22" i="9"/>
  <c r="E22" i="9"/>
  <c r="F22" i="9"/>
  <c r="G22" i="9"/>
  <c r="H22" i="9"/>
  <c r="I22" i="9"/>
  <c r="B24" i="9"/>
  <c r="C24" i="9"/>
  <c r="D24" i="9"/>
  <c r="E24" i="9"/>
  <c r="F24" i="9"/>
  <c r="G24" i="9"/>
  <c r="H24" i="9"/>
  <c r="I24" i="9"/>
  <c r="B8" i="9"/>
  <c r="C8" i="9"/>
  <c r="B9" i="9"/>
  <c r="C9" i="9"/>
  <c r="D9" i="9"/>
  <c r="E9" i="9"/>
  <c r="F9" i="9"/>
  <c r="G9" i="9"/>
  <c r="H9" i="9"/>
  <c r="I9" i="9"/>
  <c r="C62" i="1"/>
  <c r="C55" i="1"/>
  <c r="C54" i="1"/>
  <c r="C53" i="1"/>
  <c r="C44" i="1"/>
  <c r="C29" i="1"/>
  <c r="C8" i="1"/>
  <c r="C70" i="1" s="1"/>
  <c r="I62" i="1"/>
  <c r="G11" i="9" s="1"/>
  <c r="K62" i="1"/>
  <c r="I11" i="9" s="1"/>
  <c r="C53" i="5"/>
  <c r="D53" i="5"/>
  <c r="E53" i="5"/>
  <c r="F53" i="5"/>
  <c r="G53" i="5"/>
  <c r="H53" i="5"/>
  <c r="I53" i="5"/>
  <c r="J53" i="5"/>
  <c r="K53" i="5"/>
  <c r="L53" i="5"/>
  <c r="M53" i="5"/>
  <c r="N53" i="5"/>
  <c r="O53" i="5"/>
  <c r="P53" i="5"/>
  <c r="Q53" i="5"/>
  <c r="R53" i="5"/>
  <c r="S53" i="5"/>
  <c r="T53" i="5"/>
  <c r="U53" i="5"/>
  <c r="V53" i="5"/>
  <c r="B8" i="1"/>
  <c r="B17" i="1" s="1"/>
  <c r="B77" i="1" s="1"/>
  <c r="D8" i="1"/>
  <c r="B5" i="9" s="1"/>
  <c r="E8" i="1"/>
  <c r="C5" i="9" s="1"/>
  <c r="F8" i="1"/>
  <c r="G8" i="1"/>
  <c r="H8" i="1"/>
  <c r="F51" i="9" s="1"/>
  <c r="F55" i="9" s="1"/>
  <c r="I8" i="1"/>
  <c r="J8" i="1"/>
  <c r="H5" i="9" s="1"/>
  <c r="K8" i="1"/>
  <c r="I5" i="9" s="1"/>
  <c r="B29" i="1"/>
  <c r="D29" i="1"/>
  <c r="E29" i="1"/>
  <c r="F29" i="1"/>
  <c r="G29" i="1"/>
  <c r="H29" i="1"/>
  <c r="I29" i="1"/>
  <c r="J29" i="1"/>
  <c r="K29" i="1"/>
  <c r="B62" i="1"/>
  <c r="D62" i="1"/>
  <c r="B11" i="9" s="1"/>
  <c r="E62" i="1"/>
  <c r="C11" i="9" s="1"/>
  <c r="F62" i="1"/>
  <c r="D11" i="9" s="1"/>
  <c r="G62" i="1"/>
  <c r="E11" i="9" s="1"/>
  <c r="H62" i="1"/>
  <c r="F11" i="9" s="1"/>
  <c r="J62" i="1"/>
  <c r="H11" i="9" s="1"/>
  <c r="B53" i="5"/>
  <c r="C12" i="5"/>
  <c r="C57" i="5" s="1"/>
  <c r="D12" i="5"/>
  <c r="C26" i="9" s="1"/>
  <c r="E12" i="5"/>
  <c r="D26" i="9" s="1"/>
  <c r="F12" i="5"/>
  <c r="F57" i="5" s="1"/>
  <c r="G12" i="5"/>
  <c r="G57" i="5" s="1"/>
  <c r="H12" i="5"/>
  <c r="H24" i="5" s="1"/>
  <c r="I12" i="5"/>
  <c r="I24" i="5" s="1"/>
  <c r="J12" i="5"/>
  <c r="J24" i="5" s="1"/>
  <c r="C35" i="5"/>
  <c r="D35" i="5"/>
  <c r="E35" i="5"/>
  <c r="F35" i="5"/>
  <c r="G35" i="5"/>
  <c r="H35" i="5"/>
  <c r="I35" i="5"/>
  <c r="J35" i="5"/>
  <c r="C44" i="5"/>
  <c r="C46" i="5" s="1"/>
  <c r="C47" i="5" s="1"/>
  <c r="D44" i="5"/>
  <c r="D46" i="5" s="1"/>
  <c r="E44" i="5"/>
  <c r="E46" i="5" s="1"/>
  <c r="F44" i="5"/>
  <c r="F50" i="5" s="1"/>
  <c r="F54" i="5" s="1"/>
  <c r="G44" i="5"/>
  <c r="G50" i="5" s="1"/>
  <c r="H41" i="1" s="1"/>
  <c r="H44" i="1" s="1"/>
  <c r="H44" i="5"/>
  <c r="H50" i="5" s="1"/>
  <c r="I44" i="5"/>
  <c r="I50" i="5" s="1"/>
  <c r="J41" i="1" s="1"/>
  <c r="J44" i="1" s="1"/>
  <c r="J44" i="5"/>
  <c r="J50" i="5" s="1"/>
  <c r="K41" i="1" s="1"/>
  <c r="K53" i="1" s="1"/>
  <c r="B44" i="5"/>
  <c r="B35" i="5"/>
  <c r="B12" i="5"/>
  <c r="J32" i="2"/>
  <c r="J35" i="2" s="1"/>
  <c r="I60" i="5" l="1"/>
  <c r="H60" i="5"/>
  <c r="J60" i="5"/>
  <c r="K40" i="1"/>
  <c r="B26" i="9"/>
  <c r="I21" i="9"/>
  <c r="I23" i="9" s="1"/>
  <c r="H54" i="5"/>
  <c r="I54" i="5"/>
  <c r="H21" i="9"/>
  <c r="H23" i="9" s="1"/>
  <c r="C21" i="9"/>
  <c r="C23" i="9" s="1"/>
  <c r="H40" i="1"/>
  <c r="B21" i="9"/>
  <c r="B23" i="9" s="1"/>
  <c r="D40" i="1"/>
  <c r="G40" i="1"/>
  <c r="I26" i="9"/>
  <c r="E40" i="1"/>
  <c r="H26" i="9"/>
  <c r="G41" i="1"/>
  <c r="G44" i="1" s="1"/>
  <c r="G45" i="1" s="1"/>
  <c r="G21" i="9"/>
  <c r="G23" i="9" s="1"/>
  <c r="G26" i="9"/>
  <c r="I40" i="1"/>
  <c r="G54" i="5"/>
  <c r="I41" i="1"/>
  <c r="I44" i="1" s="1"/>
  <c r="F21" i="9"/>
  <c r="F23" i="9" s="1"/>
  <c r="F26" i="9"/>
  <c r="F40" i="1"/>
  <c r="E21" i="9"/>
  <c r="E23" i="9" s="1"/>
  <c r="E26" i="9"/>
  <c r="J40" i="1"/>
  <c r="B40" i="1"/>
  <c r="D21" i="9"/>
  <c r="D23" i="9" s="1"/>
  <c r="C69" i="1"/>
  <c r="E70" i="1"/>
  <c r="C18" i="9" s="1"/>
  <c r="C51" i="9"/>
  <c r="I69" i="1"/>
  <c r="G17" i="9" s="1"/>
  <c r="G51" i="9"/>
  <c r="G69" i="1"/>
  <c r="E17" i="9" s="1"/>
  <c r="E51" i="9"/>
  <c r="C82" i="1"/>
  <c r="F81" i="1"/>
  <c r="D51" i="9"/>
  <c r="B47" i="1"/>
  <c r="C81" i="1"/>
  <c r="D63" i="1"/>
  <c r="B12" i="9" s="1"/>
  <c r="B51" i="9"/>
  <c r="C65" i="1"/>
  <c r="G5" i="9"/>
  <c r="F53" i="9"/>
  <c r="F5" i="9"/>
  <c r="K17" i="1"/>
  <c r="K31" i="1" s="1"/>
  <c r="I51" i="9"/>
  <c r="J17" i="1"/>
  <c r="J76" i="1" s="1"/>
  <c r="H51" i="9"/>
  <c r="C75" i="1"/>
  <c r="C63" i="1"/>
  <c r="E5" i="9"/>
  <c r="C17" i="1"/>
  <c r="D5" i="9"/>
  <c r="G82" i="1"/>
  <c r="G65" i="1"/>
  <c r="E14" i="9" s="1"/>
  <c r="G63" i="1"/>
  <c r="E12" i="9" s="1"/>
  <c r="B64" i="1"/>
  <c r="D65" i="1"/>
  <c r="B14" i="9" s="1"/>
  <c r="J53" i="1"/>
  <c r="D82" i="1"/>
  <c r="H53" i="1"/>
  <c r="D81" i="1"/>
  <c r="D83" i="1" s="1"/>
  <c r="K44" i="1"/>
  <c r="J45" i="1" s="1"/>
  <c r="B81" i="1"/>
  <c r="G17" i="1"/>
  <c r="E6" i="9" s="1"/>
  <c r="B65" i="1"/>
  <c r="E17" i="1"/>
  <c r="B70" i="1"/>
  <c r="K65" i="1"/>
  <c r="I14" i="9" s="1"/>
  <c r="D70" i="1"/>
  <c r="B18" i="9" s="1"/>
  <c r="K63" i="1"/>
  <c r="I12" i="9" s="1"/>
  <c r="D17" i="1"/>
  <c r="B6" i="9" s="1"/>
  <c r="K69" i="1"/>
  <c r="I17" i="9" s="1"/>
  <c r="B82" i="1"/>
  <c r="B69" i="1"/>
  <c r="K81" i="1"/>
  <c r="K82" i="1"/>
  <c r="K70" i="1"/>
  <c r="I18" i="9" s="1"/>
  <c r="G55" i="1"/>
  <c r="B51" i="5"/>
  <c r="B42" i="1" s="1"/>
  <c r="K55" i="1"/>
  <c r="H55" i="1"/>
  <c r="F17" i="1"/>
  <c r="D6" i="9" s="1"/>
  <c r="F65" i="1"/>
  <c r="D14" i="9" s="1"/>
  <c r="F47" i="1"/>
  <c r="E47" i="1"/>
  <c r="J55" i="1"/>
  <c r="G47" i="1"/>
  <c r="D47" i="1"/>
  <c r="E81" i="1"/>
  <c r="E65" i="1"/>
  <c r="C14" i="9" s="1"/>
  <c r="H47" i="1"/>
  <c r="I17" i="1"/>
  <c r="G6" i="9" s="1"/>
  <c r="H17" i="1"/>
  <c r="F6" i="9" s="1"/>
  <c r="H82" i="1"/>
  <c r="J81" i="1"/>
  <c r="H69" i="1"/>
  <c r="F17" i="9" s="1"/>
  <c r="I81" i="1"/>
  <c r="H81" i="1"/>
  <c r="G70" i="1"/>
  <c r="E18" i="9" s="1"/>
  <c r="F69" i="1"/>
  <c r="D17" i="9" s="1"/>
  <c r="F63" i="1"/>
  <c r="D12" i="9" s="1"/>
  <c r="E63" i="1"/>
  <c r="C12" i="9" s="1"/>
  <c r="I82" i="1"/>
  <c r="F82" i="1"/>
  <c r="F83" i="1" s="1"/>
  <c r="G81" i="1"/>
  <c r="G83" i="1" s="1"/>
  <c r="F70" i="1"/>
  <c r="D18" i="9" s="1"/>
  <c r="E69" i="1"/>
  <c r="C17" i="9" s="1"/>
  <c r="E82" i="1"/>
  <c r="D69" i="1"/>
  <c r="B17" i="9" s="1"/>
  <c r="K75" i="1"/>
  <c r="B76" i="1"/>
  <c r="B75" i="1"/>
  <c r="B31" i="1"/>
  <c r="J54" i="1"/>
  <c r="I65" i="1"/>
  <c r="G14" i="9" s="1"/>
  <c r="K54" i="1"/>
  <c r="J65" i="1"/>
  <c r="H14" i="9" s="1"/>
  <c r="H65" i="1"/>
  <c r="F14" i="9" s="1"/>
  <c r="J63" i="1"/>
  <c r="H12" i="9" s="1"/>
  <c r="H54" i="1"/>
  <c r="J70" i="1"/>
  <c r="H18" i="9" s="1"/>
  <c r="I63" i="1"/>
  <c r="G12" i="9" s="1"/>
  <c r="J47" i="1"/>
  <c r="I70" i="1"/>
  <c r="G18" i="9" s="1"/>
  <c r="J69" i="1"/>
  <c r="H17" i="9" s="1"/>
  <c r="H63" i="1"/>
  <c r="F12" i="9" s="1"/>
  <c r="I47" i="1"/>
  <c r="J82" i="1"/>
  <c r="H70" i="1"/>
  <c r="F18" i="9" s="1"/>
  <c r="C50" i="5"/>
  <c r="C24" i="5"/>
  <c r="C60" i="5" s="1"/>
  <c r="D47" i="5"/>
  <c r="E50" i="5"/>
  <c r="J51" i="5"/>
  <c r="I51" i="5"/>
  <c r="H51" i="5"/>
  <c r="G51" i="5"/>
  <c r="F51" i="5"/>
  <c r="E51" i="5"/>
  <c r="D51" i="5"/>
  <c r="C51" i="5"/>
  <c r="H46" i="5"/>
  <c r="H47" i="5" s="1"/>
  <c r="H48" i="5" s="1"/>
  <c r="E47" i="5"/>
  <c r="F46" i="5"/>
  <c r="F47" i="5" s="1"/>
  <c r="D50" i="5"/>
  <c r="J46" i="5"/>
  <c r="J47" i="5" s="1"/>
  <c r="J48" i="5" s="1"/>
  <c r="B46" i="5"/>
  <c r="B47" i="5" s="1"/>
  <c r="G46" i="5"/>
  <c r="G47" i="5" s="1"/>
  <c r="I46" i="5"/>
  <c r="I47" i="5" s="1"/>
  <c r="I48" i="5" s="1"/>
  <c r="H57" i="5"/>
  <c r="H58" i="5" s="1"/>
  <c r="H71" i="5"/>
  <c r="G64" i="5"/>
  <c r="F29" i="9" s="1"/>
  <c r="G67" i="5"/>
  <c r="F32" i="9" s="1"/>
  <c r="H77" i="5"/>
  <c r="G24" i="5"/>
  <c r="G60" i="5" s="1"/>
  <c r="H73" i="5"/>
  <c r="F24" i="5"/>
  <c r="F60" i="5" s="1"/>
  <c r="E57" i="5"/>
  <c r="E58" i="5" s="1"/>
  <c r="E24" i="5"/>
  <c r="E60" i="5" s="1"/>
  <c r="J57" i="5"/>
  <c r="J63" i="5" s="1"/>
  <c r="I28" i="9" s="1"/>
  <c r="I57" i="5"/>
  <c r="I58" i="5" s="1"/>
  <c r="G65" i="5"/>
  <c r="F30" i="9" s="1"/>
  <c r="G58" i="5"/>
  <c r="G63" i="5"/>
  <c r="F28" i="9" s="1"/>
  <c r="H72" i="5"/>
  <c r="G66" i="5"/>
  <c r="F31" i="9" s="1"/>
  <c r="H74" i="5"/>
  <c r="H76" i="5"/>
  <c r="J73" i="5"/>
  <c r="J72" i="5"/>
  <c r="J71" i="5"/>
  <c r="J77" i="5"/>
  <c r="J76" i="5"/>
  <c r="J74" i="5"/>
  <c r="F63" i="5"/>
  <c r="E28" i="9" s="1"/>
  <c r="F58" i="5"/>
  <c r="F66" i="5"/>
  <c r="E31" i="9" s="1"/>
  <c r="F67" i="5"/>
  <c r="E32" i="9" s="1"/>
  <c r="F65" i="5"/>
  <c r="E30" i="9" s="1"/>
  <c r="F64" i="5"/>
  <c r="E29" i="9" s="1"/>
  <c r="C58" i="5"/>
  <c r="C66" i="5"/>
  <c r="B31" i="9" s="1"/>
  <c r="C67" i="5"/>
  <c r="B32" i="9" s="1"/>
  <c r="C65" i="5"/>
  <c r="B30" i="9" s="1"/>
  <c r="C64" i="5"/>
  <c r="B29" i="9" s="1"/>
  <c r="C63" i="5"/>
  <c r="B28" i="9" s="1"/>
  <c r="D24" i="5"/>
  <c r="D60" i="5" s="1"/>
  <c r="D57" i="5"/>
  <c r="I73" i="5"/>
  <c r="I71" i="5"/>
  <c r="I76" i="5"/>
  <c r="I72" i="5"/>
  <c r="I77" i="5"/>
  <c r="I74" i="5"/>
  <c r="B24" i="5"/>
  <c r="B60" i="5" s="1"/>
  <c r="B57" i="5"/>
  <c r="B50" i="5"/>
  <c r="B41" i="1" s="1"/>
  <c r="B44" i="1" s="1"/>
  <c r="J9" i="9"/>
  <c r="J22" i="9"/>
  <c r="J24" i="9"/>
  <c r="B53" i="1" l="1"/>
  <c r="G54" i="1"/>
  <c r="G53" i="1"/>
  <c r="E76" i="5"/>
  <c r="F77" i="5"/>
  <c r="D77" i="5"/>
  <c r="G77" i="5"/>
  <c r="C73" i="5"/>
  <c r="I55" i="1"/>
  <c r="D42" i="1"/>
  <c r="C55" i="5"/>
  <c r="F41" i="1"/>
  <c r="F44" i="1" s="1"/>
  <c r="F45" i="1" s="1"/>
  <c r="E54" i="5"/>
  <c r="G42" i="1"/>
  <c r="F55" i="5"/>
  <c r="E42" i="1"/>
  <c r="D55" i="5"/>
  <c r="F42" i="1"/>
  <c r="E55" i="5"/>
  <c r="I54" i="1"/>
  <c r="C54" i="5"/>
  <c r="D41" i="1"/>
  <c r="D44" i="1" s="1"/>
  <c r="B45" i="1" s="1"/>
  <c r="D54" i="5"/>
  <c r="E41" i="1"/>
  <c r="G55" i="5"/>
  <c r="H42" i="1"/>
  <c r="I53" i="1"/>
  <c r="H55" i="5"/>
  <c r="I42" i="1"/>
  <c r="I55" i="5"/>
  <c r="J42" i="1"/>
  <c r="K42" i="1"/>
  <c r="G55" i="9"/>
  <c r="G53" i="9"/>
  <c r="K77" i="1"/>
  <c r="I6" i="9"/>
  <c r="C83" i="1"/>
  <c r="J77" i="1"/>
  <c r="H6" i="9"/>
  <c r="E31" i="1"/>
  <c r="E34" i="1" s="1"/>
  <c r="C6" i="9"/>
  <c r="C31" i="1"/>
  <c r="C64" i="1"/>
  <c r="C76" i="1"/>
  <c r="C77" i="1"/>
  <c r="B48" i="1"/>
  <c r="C55" i="9"/>
  <c r="C53" i="9"/>
  <c r="H55" i="9"/>
  <c r="H53" i="9"/>
  <c r="J64" i="1"/>
  <c r="H13" i="9" s="1"/>
  <c r="I55" i="9"/>
  <c r="I53" i="9"/>
  <c r="E55" i="9"/>
  <c r="E53" i="9"/>
  <c r="B55" i="9"/>
  <c r="B53" i="9"/>
  <c r="J48" i="1"/>
  <c r="J75" i="1"/>
  <c r="J31" i="1"/>
  <c r="J67" i="1" s="1"/>
  <c r="K76" i="1"/>
  <c r="D55" i="9"/>
  <c r="D53" i="9"/>
  <c r="K64" i="1"/>
  <c r="I13" i="9" s="1"/>
  <c r="G31" i="1"/>
  <c r="G34" i="1" s="1"/>
  <c r="G68" i="1" s="1"/>
  <c r="E16" i="9" s="1"/>
  <c r="G77" i="1"/>
  <c r="G64" i="1"/>
  <c r="E13" i="9" s="1"/>
  <c r="H31" i="1"/>
  <c r="H34" i="1" s="1"/>
  <c r="H77" i="1"/>
  <c r="B83" i="1"/>
  <c r="E83" i="1"/>
  <c r="I31" i="1"/>
  <c r="I34" i="1" s="1"/>
  <c r="I77" i="1"/>
  <c r="D77" i="1"/>
  <c r="E76" i="1"/>
  <c r="E77" i="1"/>
  <c r="F31" i="1"/>
  <c r="F34" i="1" s="1"/>
  <c r="F77" i="1"/>
  <c r="D31" i="1"/>
  <c r="D67" i="1" s="1"/>
  <c r="G67" i="1"/>
  <c r="G75" i="1"/>
  <c r="G76" i="1"/>
  <c r="E75" i="1"/>
  <c r="I83" i="1"/>
  <c r="E64" i="1"/>
  <c r="C13" i="9" s="1"/>
  <c r="D76" i="1"/>
  <c r="D64" i="1"/>
  <c r="B13" i="9" s="1"/>
  <c r="D48" i="1"/>
  <c r="D75" i="1"/>
  <c r="H83" i="1"/>
  <c r="K83" i="1"/>
  <c r="B54" i="5"/>
  <c r="B55" i="5"/>
  <c r="E48" i="1"/>
  <c r="F76" i="1"/>
  <c r="F75" i="1"/>
  <c r="F48" i="1"/>
  <c r="F64" i="1"/>
  <c r="D13" i="9" s="1"/>
  <c r="J83" i="1"/>
  <c r="I45" i="1"/>
  <c r="H45" i="1"/>
  <c r="I48" i="1"/>
  <c r="H64" i="1"/>
  <c r="F13" i="9" s="1"/>
  <c r="H75" i="1"/>
  <c r="H76" i="1"/>
  <c r="G48" i="1"/>
  <c r="I76" i="1"/>
  <c r="B78" i="1"/>
  <c r="D56" i="1"/>
  <c r="H48" i="1"/>
  <c r="I75" i="1"/>
  <c r="I64" i="1"/>
  <c r="G13" i="9" s="1"/>
  <c r="K78" i="1"/>
  <c r="J78" i="1"/>
  <c r="B67" i="1"/>
  <c r="B34" i="1"/>
  <c r="K67" i="1"/>
  <c r="K34" i="1"/>
  <c r="C77" i="5"/>
  <c r="C76" i="5"/>
  <c r="C48" i="5"/>
  <c r="C71" i="5"/>
  <c r="C72" i="5"/>
  <c r="C74" i="5"/>
  <c r="C68" i="5"/>
  <c r="F68" i="5"/>
  <c r="E66" i="5"/>
  <c r="D31" i="9" s="1"/>
  <c r="I63" i="5"/>
  <c r="H28" i="9" s="1"/>
  <c r="G76" i="5"/>
  <c r="G68" i="5"/>
  <c r="G48" i="5"/>
  <c r="E48" i="5"/>
  <c r="E77" i="5"/>
  <c r="H67" i="5"/>
  <c r="G32" i="9" s="1"/>
  <c r="H65" i="5"/>
  <c r="G30" i="9" s="1"/>
  <c r="H66" i="5"/>
  <c r="G31" i="9" s="1"/>
  <c r="H63" i="5"/>
  <c r="G28" i="9" s="1"/>
  <c r="H64" i="5"/>
  <c r="G29" i="9" s="1"/>
  <c r="E64" i="5"/>
  <c r="D29" i="9" s="1"/>
  <c r="E63" i="5"/>
  <c r="D28" i="9" s="1"/>
  <c r="F76" i="5"/>
  <c r="G72" i="5"/>
  <c r="G74" i="5"/>
  <c r="G73" i="5"/>
  <c r="G71" i="5"/>
  <c r="F74" i="5"/>
  <c r="F72" i="5"/>
  <c r="F73" i="5"/>
  <c r="F71" i="5"/>
  <c r="F48" i="5"/>
  <c r="E72" i="5"/>
  <c r="E73" i="5"/>
  <c r="E71" i="5"/>
  <c r="E74" i="5"/>
  <c r="J65" i="5"/>
  <c r="I30" i="9" s="1"/>
  <c r="J64" i="5"/>
  <c r="I29" i="9" s="1"/>
  <c r="E65" i="5"/>
  <c r="D30" i="9" s="1"/>
  <c r="E67" i="5"/>
  <c r="D32" i="9" s="1"/>
  <c r="I64" i="5"/>
  <c r="H29" i="9" s="1"/>
  <c r="I67" i="5"/>
  <c r="H32" i="9" s="1"/>
  <c r="I66" i="5"/>
  <c r="H31" i="9" s="1"/>
  <c r="I65" i="5"/>
  <c r="H30" i="9" s="1"/>
  <c r="J58" i="5"/>
  <c r="J67" i="5"/>
  <c r="I32" i="9" s="1"/>
  <c r="J66" i="5"/>
  <c r="I31" i="9" s="1"/>
  <c r="D58" i="5"/>
  <c r="D66" i="5"/>
  <c r="C31" i="9" s="1"/>
  <c r="D67" i="5"/>
  <c r="C32" i="9" s="1"/>
  <c r="D65" i="5"/>
  <c r="C30" i="9" s="1"/>
  <c r="D64" i="5"/>
  <c r="C29" i="9" s="1"/>
  <c r="D63" i="5"/>
  <c r="C28" i="9" s="1"/>
  <c r="D76" i="5"/>
  <c r="D74" i="5"/>
  <c r="D73" i="5"/>
  <c r="D72" i="5"/>
  <c r="D71" i="5"/>
  <c r="D48" i="5"/>
  <c r="B73" i="5"/>
  <c r="B71" i="5"/>
  <c r="B72" i="5"/>
  <c r="B67" i="5"/>
  <c r="B65" i="5"/>
  <c r="B63" i="5"/>
  <c r="B58" i="5"/>
  <c r="B66" i="5"/>
  <c r="B64" i="5"/>
  <c r="B77" i="5"/>
  <c r="B48" i="5"/>
  <c r="L8" i="1"/>
  <c r="L29" i="1"/>
  <c r="L62" i="1"/>
  <c r="K12" i="5"/>
  <c r="K35" i="5"/>
  <c r="K44" i="5"/>
  <c r="L40" i="1" s="1"/>
  <c r="K32" i="2"/>
  <c r="K35" i="2" s="1"/>
  <c r="K9" i="9"/>
  <c r="K22" i="9"/>
  <c r="K24" i="9"/>
  <c r="F53" i="1" l="1"/>
  <c r="F55" i="1"/>
  <c r="D55" i="1"/>
  <c r="D53" i="1"/>
  <c r="D54" i="1"/>
  <c r="F54" i="1"/>
  <c r="E54" i="1"/>
  <c r="E44" i="1"/>
  <c r="C45" i="1" s="1"/>
  <c r="C78" i="1"/>
  <c r="E78" i="1"/>
  <c r="J34" i="1"/>
  <c r="H69" i="9" s="1"/>
  <c r="H70" i="9" s="1"/>
  <c r="C69" i="9"/>
  <c r="C70" i="9" s="1"/>
  <c r="C7" i="9"/>
  <c r="D69" i="9"/>
  <c r="D70" i="9" s="1"/>
  <c r="D7" i="9"/>
  <c r="E67" i="1"/>
  <c r="H59" i="1"/>
  <c r="F69" i="9"/>
  <c r="F70" i="9" s="1"/>
  <c r="F7" i="9"/>
  <c r="I37" i="1"/>
  <c r="G69" i="9"/>
  <c r="G70" i="9" s="1"/>
  <c r="G7" i="9"/>
  <c r="C34" i="1"/>
  <c r="C67" i="1"/>
  <c r="F67" i="1"/>
  <c r="I69" i="9"/>
  <c r="I70" i="9" s="1"/>
  <c r="I7" i="9"/>
  <c r="K47" i="1"/>
  <c r="J51" i="9"/>
  <c r="E69" i="9"/>
  <c r="E70" i="9" s="1"/>
  <c r="E7" i="9"/>
  <c r="G58" i="1"/>
  <c r="H68" i="1"/>
  <c r="F16" i="9" s="1"/>
  <c r="H66" i="1"/>
  <c r="F15" i="9" s="1"/>
  <c r="H37" i="1"/>
  <c r="H58" i="1"/>
  <c r="F59" i="1"/>
  <c r="F37" i="1"/>
  <c r="D8" i="9" s="1"/>
  <c r="F58" i="1"/>
  <c r="I66" i="1"/>
  <c r="G15" i="9" s="1"/>
  <c r="I58" i="1"/>
  <c r="I68" i="1"/>
  <c r="G16" i="9" s="1"/>
  <c r="E58" i="1"/>
  <c r="E59" i="1"/>
  <c r="I59" i="1"/>
  <c r="I67" i="1"/>
  <c r="H67" i="1"/>
  <c r="G66" i="1"/>
  <c r="E15" i="9" s="1"/>
  <c r="G37" i="1"/>
  <c r="G59" i="1"/>
  <c r="D78" i="1"/>
  <c r="D34" i="1"/>
  <c r="F78" i="1"/>
  <c r="G78" i="1"/>
  <c r="K58" i="1"/>
  <c r="K37" i="1"/>
  <c r="K59" i="1"/>
  <c r="J59" i="1"/>
  <c r="J58" i="1"/>
  <c r="J37" i="1"/>
  <c r="H78" i="1"/>
  <c r="I78" i="1"/>
  <c r="E55" i="1"/>
  <c r="E53" i="1"/>
  <c r="B55" i="1"/>
  <c r="B54" i="1"/>
  <c r="F68" i="1"/>
  <c r="D16" i="9" s="1"/>
  <c r="F66" i="1"/>
  <c r="D15" i="9" s="1"/>
  <c r="E66" i="1"/>
  <c r="C15" i="9" s="1"/>
  <c r="E56" i="1"/>
  <c r="E68" i="1"/>
  <c r="C16" i="9" s="1"/>
  <c r="J68" i="1"/>
  <c r="H16" i="9" s="1"/>
  <c r="J66" i="1"/>
  <c r="H15" i="9" s="1"/>
  <c r="K68" i="1"/>
  <c r="I16" i="9" s="1"/>
  <c r="K66" i="1"/>
  <c r="I15" i="9" s="1"/>
  <c r="B66" i="1"/>
  <c r="B68" i="1"/>
  <c r="K46" i="5"/>
  <c r="K51" i="5"/>
  <c r="K47" i="5"/>
  <c r="H68" i="5"/>
  <c r="J68" i="5"/>
  <c r="E68" i="5"/>
  <c r="I68" i="5"/>
  <c r="D68" i="5"/>
  <c r="L69" i="1"/>
  <c r="J17" i="9" s="1"/>
  <c r="J5" i="9"/>
  <c r="J11" i="9"/>
  <c r="B68" i="5"/>
  <c r="J21" i="9"/>
  <c r="J23" i="9" s="1"/>
  <c r="K24" i="5"/>
  <c r="K60" i="5" s="1"/>
  <c r="J26" i="9"/>
  <c r="L65" i="1"/>
  <c r="L82" i="1"/>
  <c r="L63" i="1"/>
  <c r="L17" i="1"/>
  <c r="L70" i="1"/>
  <c r="J18" i="9" s="1"/>
  <c r="L81" i="1"/>
  <c r="K57" i="5"/>
  <c r="K64" i="5" s="1"/>
  <c r="J29" i="9" s="1"/>
  <c r="K50" i="5"/>
  <c r="N24" i="9"/>
  <c r="M24" i="9"/>
  <c r="L24" i="9"/>
  <c r="N22" i="9"/>
  <c r="M22" i="9"/>
  <c r="L22" i="9"/>
  <c r="L9" i="9"/>
  <c r="M9" i="9"/>
  <c r="N9" i="9"/>
  <c r="M8" i="1"/>
  <c r="M29" i="1"/>
  <c r="M62" i="1"/>
  <c r="L12" i="5"/>
  <c r="L35" i="5"/>
  <c r="L44" i="5"/>
  <c r="M40" i="1" s="1"/>
  <c r="L32" i="2"/>
  <c r="M44" i="5"/>
  <c r="M35" i="5"/>
  <c r="M12" i="5"/>
  <c r="M24" i="5" s="1"/>
  <c r="M60" i="5" s="1"/>
  <c r="M51" i="5" l="1"/>
  <c r="N40" i="1"/>
  <c r="L41" i="1"/>
  <c r="L44" i="1" s="1"/>
  <c r="J54" i="5"/>
  <c r="E45" i="1"/>
  <c r="L42" i="1"/>
  <c r="K55" i="5"/>
  <c r="J55" i="5"/>
  <c r="H7" i="9"/>
  <c r="C66" i="1"/>
  <c r="C68" i="1"/>
  <c r="B69" i="9"/>
  <c r="B70" i="9" s="1"/>
  <c r="B7" i="9"/>
  <c r="H56" i="1"/>
  <c r="F8" i="9"/>
  <c r="I56" i="1"/>
  <c r="G8" i="9"/>
  <c r="F56" i="1"/>
  <c r="J56" i="1"/>
  <c r="H8" i="9"/>
  <c r="J55" i="9"/>
  <c r="J53" i="9"/>
  <c r="G56" i="1"/>
  <c r="E8" i="9"/>
  <c r="L47" i="1"/>
  <c r="K51" i="9"/>
  <c r="K56" i="1"/>
  <c r="I8" i="9"/>
  <c r="K48" i="1"/>
  <c r="L77" i="1"/>
  <c r="D66" i="1"/>
  <c r="B15" i="9" s="1"/>
  <c r="D59" i="1"/>
  <c r="D58" i="1"/>
  <c r="D68" i="1"/>
  <c r="B16" i="9" s="1"/>
  <c r="L83" i="1"/>
  <c r="D45" i="1"/>
  <c r="L46" i="5"/>
  <c r="L47" i="5" s="1"/>
  <c r="L51" i="5"/>
  <c r="M46" i="5"/>
  <c r="M47" i="5" s="1"/>
  <c r="M48" i="5" s="1"/>
  <c r="L21" i="9"/>
  <c r="L23" i="9" s="1"/>
  <c r="K67" i="5"/>
  <c r="J32" i="9" s="1"/>
  <c r="K73" i="5"/>
  <c r="L31" i="1"/>
  <c r="L67" i="1" s="1"/>
  <c r="J6" i="9"/>
  <c r="K58" i="5"/>
  <c r="L26" i="9"/>
  <c r="K48" i="5"/>
  <c r="J12" i="9"/>
  <c r="K77" i="5"/>
  <c r="J14" i="9"/>
  <c r="K63" i="5"/>
  <c r="J28" i="9" s="1"/>
  <c r="K72" i="5"/>
  <c r="K76" i="5"/>
  <c r="K71" i="5"/>
  <c r="K74" i="5"/>
  <c r="K65" i="5"/>
  <c r="J30" i="9" s="1"/>
  <c r="K66" i="5"/>
  <c r="L75" i="1"/>
  <c r="L64" i="1"/>
  <c r="L76" i="1"/>
  <c r="K11" i="9"/>
  <c r="K5" i="9"/>
  <c r="L24" i="5"/>
  <c r="L60" i="5" s="1"/>
  <c r="K26" i="9"/>
  <c r="K21" i="9"/>
  <c r="K23" i="9" s="1"/>
  <c r="M82" i="1"/>
  <c r="M70" i="1"/>
  <c r="K18" i="9" s="1"/>
  <c r="M17" i="1"/>
  <c r="M77" i="1" s="1"/>
  <c r="M81" i="1"/>
  <c r="M69" i="1"/>
  <c r="K17" i="9" s="1"/>
  <c r="M65" i="1"/>
  <c r="M63" i="1"/>
  <c r="L57" i="5"/>
  <c r="L58" i="5" s="1"/>
  <c r="L50" i="5"/>
  <c r="K54" i="5" s="1"/>
  <c r="M73" i="5"/>
  <c r="M71" i="5"/>
  <c r="M74" i="5"/>
  <c r="M72" i="5"/>
  <c r="M76" i="5"/>
  <c r="M57" i="5"/>
  <c r="M77" i="5"/>
  <c r="M50" i="5"/>
  <c r="L35" i="2"/>
  <c r="B33" i="3"/>
  <c r="B28" i="3"/>
  <c r="B30" i="3" s="1"/>
  <c r="X62" i="1"/>
  <c r="X29" i="1"/>
  <c r="X8" i="1"/>
  <c r="V51" i="9" s="1"/>
  <c r="V53" i="9" s="1"/>
  <c r="M32" i="2"/>
  <c r="M35" i="2" s="1"/>
  <c r="N32" i="2"/>
  <c r="N35" i="2" s="1"/>
  <c r="O32" i="2"/>
  <c r="O35" i="2" s="1"/>
  <c r="P32" i="2"/>
  <c r="P35" i="2" s="1"/>
  <c r="Q32" i="2"/>
  <c r="Q35" i="2" s="1"/>
  <c r="R32" i="2"/>
  <c r="R35" i="2" s="1"/>
  <c r="S32" i="2"/>
  <c r="S35" i="2" s="1"/>
  <c r="T32" i="2"/>
  <c r="T35" i="2" s="1"/>
  <c r="U32" i="2"/>
  <c r="U35" i="2" s="1"/>
  <c r="V32" i="2"/>
  <c r="V35" i="2" s="1"/>
  <c r="N12" i="5"/>
  <c r="N24" i="5" s="1"/>
  <c r="N60" i="5" s="1"/>
  <c r="O12" i="5"/>
  <c r="P12" i="5"/>
  <c r="P24" i="5" s="1"/>
  <c r="P60" i="5" s="1"/>
  <c r="Q12" i="5"/>
  <c r="Q24" i="5" s="1"/>
  <c r="Q60" i="5" s="1"/>
  <c r="R12" i="5"/>
  <c r="R24" i="5" s="1"/>
  <c r="S12" i="5"/>
  <c r="S24" i="5" s="1"/>
  <c r="T12" i="5"/>
  <c r="T24" i="5" s="1"/>
  <c r="U12" i="5"/>
  <c r="U24" i="5" s="1"/>
  <c r="V12" i="5"/>
  <c r="V24" i="5" s="1"/>
  <c r="V60" i="5" s="1"/>
  <c r="W12" i="5"/>
  <c r="W24" i="5" s="1"/>
  <c r="W60" i="5" s="1"/>
  <c r="N44" i="5"/>
  <c r="O44" i="5"/>
  <c r="P44" i="5"/>
  <c r="Q44" i="5"/>
  <c r="R44" i="5"/>
  <c r="S44" i="5"/>
  <c r="T44" i="5"/>
  <c r="U44" i="5"/>
  <c r="V44" i="5"/>
  <c r="W44" i="5"/>
  <c r="N35" i="5"/>
  <c r="O35" i="5"/>
  <c r="P35" i="5"/>
  <c r="Q35" i="5"/>
  <c r="R35" i="5"/>
  <c r="S35" i="5"/>
  <c r="T35" i="5"/>
  <c r="U35" i="5"/>
  <c r="V35" i="5"/>
  <c r="W35" i="5"/>
  <c r="U60" i="5" l="1"/>
  <c r="S60" i="5"/>
  <c r="T60" i="5"/>
  <c r="R60" i="5"/>
  <c r="Q71" i="5"/>
  <c r="V72" i="5"/>
  <c r="U71" i="5"/>
  <c r="T72" i="5"/>
  <c r="P74" i="5"/>
  <c r="N72" i="5"/>
  <c r="S71" i="5"/>
  <c r="W71" i="5"/>
  <c r="R72" i="5"/>
  <c r="T51" i="5"/>
  <c r="U40" i="1"/>
  <c r="V51" i="5"/>
  <c r="W40" i="1"/>
  <c r="U51" i="5"/>
  <c r="V40" i="1"/>
  <c r="S51" i="5"/>
  <c r="T40" i="1"/>
  <c r="N51" i="5"/>
  <c r="M55" i="5" s="1"/>
  <c r="O40" i="1"/>
  <c r="R51" i="5"/>
  <c r="S40" i="1"/>
  <c r="M42" i="1"/>
  <c r="L55" i="5"/>
  <c r="Q51" i="5"/>
  <c r="R40" i="1"/>
  <c r="N41" i="1"/>
  <c r="N44" i="1" s="1"/>
  <c r="L54" i="5"/>
  <c r="M41" i="1"/>
  <c r="M44" i="1" s="1"/>
  <c r="P51" i="5"/>
  <c r="Q40" i="1"/>
  <c r="W51" i="5"/>
  <c r="X42" i="1" s="1"/>
  <c r="X40" i="1"/>
  <c r="O51" i="5"/>
  <c r="P40" i="1"/>
  <c r="N42" i="1"/>
  <c r="K55" i="9"/>
  <c r="K53" i="9"/>
  <c r="L34" i="1"/>
  <c r="L78" i="1"/>
  <c r="N46" i="5"/>
  <c r="N47" i="5" s="1"/>
  <c r="N48" i="5" s="1"/>
  <c r="P50" i="5"/>
  <c r="P46" i="5"/>
  <c r="P47" i="5" s="1"/>
  <c r="P48" i="5" s="1"/>
  <c r="R50" i="5"/>
  <c r="R46" i="5"/>
  <c r="R47" i="5" s="1"/>
  <c r="R48" i="5" s="1"/>
  <c r="Q50" i="5"/>
  <c r="Q46" i="5"/>
  <c r="Q47" i="5" s="1"/>
  <c r="Q48" i="5" s="1"/>
  <c r="O46" i="5"/>
  <c r="O47" i="5" s="1"/>
  <c r="V50" i="5"/>
  <c r="V46" i="5"/>
  <c r="V47" i="5" s="1"/>
  <c r="V48" i="5" s="1"/>
  <c r="U50" i="5"/>
  <c r="U46" i="5"/>
  <c r="U47" i="5" s="1"/>
  <c r="U48" i="5" s="1"/>
  <c r="W50" i="5"/>
  <c r="X41" i="1" s="1"/>
  <c r="X44" i="1" s="1"/>
  <c r="W46" i="5"/>
  <c r="W47" i="5" s="1"/>
  <c r="W48" i="5" s="1"/>
  <c r="T50" i="5"/>
  <c r="T46" i="5"/>
  <c r="T47" i="5" s="1"/>
  <c r="T48" i="5" s="1"/>
  <c r="S50" i="5"/>
  <c r="S46" i="5"/>
  <c r="S47" i="5" s="1"/>
  <c r="S48" i="5" s="1"/>
  <c r="L76" i="5"/>
  <c r="J13" i="9"/>
  <c r="L73" i="5"/>
  <c r="M31" i="1"/>
  <c r="M34" i="1" s="1"/>
  <c r="L48" i="5"/>
  <c r="J7" i="9"/>
  <c r="L59" i="1"/>
  <c r="L72" i="5"/>
  <c r="L48" i="1"/>
  <c r="L77" i="5"/>
  <c r="K68" i="5"/>
  <c r="J31" i="9"/>
  <c r="N77" i="5"/>
  <c r="L65" i="5"/>
  <c r="K30" i="9" s="1"/>
  <c r="L74" i="5"/>
  <c r="L71" i="5"/>
  <c r="L54" i="1"/>
  <c r="K45" i="1"/>
  <c r="L55" i="1"/>
  <c r="L53" i="1"/>
  <c r="L37" i="1"/>
  <c r="L68" i="1"/>
  <c r="J16" i="9" s="1"/>
  <c r="L66" i="1"/>
  <c r="K12" i="9"/>
  <c r="K14" i="9"/>
  <c r="M64" i="1"/>
  <c r="K6" i="9"/>
  <c r="N50" i="5"/>
  <c r="M21" i="9"/>
  <c r="M23" i="9" s="1"/>
  <c r="O24" i="5"/>
  <c r="O60" i="5" s="1"/>
  <c r="N26" i="9"/>
  <c r="V77" i="5"/>
  <c r="T77" i="5"/>
  <c r="R77" i="5"/>
  <c r="P77" i="5"/>
  <c r="O50" i="5"/>
  <c r="N21" i="9"/>
  <c r="N23" i="9" s="1"/>
  <c r="N57" i="5"/>
  <c r="N63" i="5" s="1"/>
  <c r="M28" i="9" s="1"/>
  <c r="M26" i="9"/>
  <c r="W77" i="5"/>
  <c r="U77" i="5"/>
  <c r="S77" i="5"/>
  <c r="Q77" i="5"/>
  <c r="M76" i="1"/>
  <c r="M75" i="1"/>
  <c r="L64" i="5"/>
  <c r="K29" i="9" s="1"/>
  <c r="L66" i="5"/>
  <c r="K31" i="9" s="1"/>
  <c r="L63" i="5"/>
  <c r="K28" i="9" s="1"/>
  <c r="L67" i="5"/>
  <c r="K32" i="9" s="1"/>
  <c r="M83" i="1"/>
  <c r="X70" i="1"/>
  <c r="X81" i="1"/>
  <c r="X82" i="1"/>
  <c r="M67" i="5"/>
  <c r="L32" i="9" s="1"/>
  <c r="M65" i="5"/>
  <c r="L30" i="9" s="1"/>
  <c r="M63" i="5"/>
  <c r="L28" i="9" s="1"/>
  <c r="M58" i="5"/>
  <c r="M66" i="5"/>
  <c r="L31" i="9" s="1"/>
  <c r="M64" i="5"/>
  <c r="L29" i="9" s="1"/>
  <c r="X69" i="1"/>
  <c r="X63" i="1"/>
  <c r="X65" i="1"/>
  <c r="X17" i="1"/>
  <c r="U72" i="5"/>
  <c r="Q72" i="5"/>
  <c r="V73" i="5"/>
  <c r="T73" i="5"/>
  <c r="R73" i="5"/>
  <c r="P73" i="5"/>
  <c r="N73" i="5"/>
  <c r="W74" i="5"/>
  <c r="U74" i="5"/>
  <c r="S74" i="5"/>
  <c r="Q74" i="5"/>
  <c r="V76" i="5"/>
  <c r="T76" i="5"/>
  <c r="R76" i="5"/>
  <c r="P76" i="5"/>
  <c r="N76" i="5"/>
  <c r="W72" i="5"/>
  <c r="S72" i="5"/>
  <c r="W73" i="5"/>
  <c r="U73" i="5"/>
  <c r="S73" i="5"/>
  <c r="Q73" i="5"/>
  <c r="V74" i="5"/>
  <c r="T74" i="5"/>
  <c r="R74" i="5"/>
  <c r="N74" i="5"/>
  <c r="W76" i="5"/>
  <c r="U76" i="5"/>
  <c r="S76" i="5"/>
  <c r="Q76" i="5"/>
  <c r="P72" i="5"/>
  <c r="P71" i="5"/>
  <c r="V57" i="5"/>
  <c r="T57" i="5"/>
  <c r="R57" i="5"/>
  <c r="P57" i="5"/>
  <c r="V71" i="5"/>
  <c r="T71" i="5"/>
  <c r="R71" i="5"/>
  <c r="N71" i="5"/>
  <c r="W57" i="5"/>
  <c r="U57" i="5"/>
  <c r="S57" i="5"/>
  <c r="Q57" i="5"/>
  <c r="O57" i="5"/>
  <c r="N8" i="1"/>
  <c r="L51" i="9" s="1"/>
  <c r="N29" i="1"/>
  <c r="N62" i="1"/>
  <c r="O62" i="1"/>
  <c r="M11" i="9" s="1"/>
  <c r="D14" i="3"/>
  <c r="B36" i="3" s="1"/>
  <c r="B38" i="3" s="1"/>
  <c r="C14" i="3"/>
  <c r="B32" i="3" s="1"/>
  <c r="B34" i="3" s="1"/>
  <c r="E7" i="3"/>
  <c r="E8" i="3"/>
  <c r="E9" i="3"/>
  <c r="E10" i="3"/>
  <c r="E11" i="3"/>
  <c r="E12" i="3"/>
  <c r="E13" i="3"/>
  <c r="E6" i="3"/>
  <c r="E5" i="3"/>
  <c r="E4" i="3"/>
  <c r="O8" i="1"/>
  <c r="O29" i="1"/>
  <c r="P62" i="1"/>
  <c r="N11" i="9" s="1"/>
  <c r="Q62" i="1"/>
  <c r="R62" i="1"/>
  <c r="S62" i="1"/>
  <c r="T62" i="1"/>
  <c r="U62" i="1"/>
  <c r="V62" i="1"/>
  <c r="W62" i="1"/>
  <c r="Q29" i="1"/>
  <c r="R29" i="1"/>
  <c r="S29" i="1"/>
  <c r="T29" i="1"/>
  <c r="U29" i="1"/>
  <c r="V29" i="1"/>
  <c r="W29" i="1"/>
  <c r="P29" i="1"/>
  <c r="M53" i="1" l="1"/>
  <c r="S55" i="5"/>
  <c r="T42" i="1"/>
  <c r="N54" i="5"/>
  <c r="O41" i="1"/>
  <c r="O44" i="1" s="1"/>
  <c r="R41" i="1"/>
  <c r="R44" i="1" s="1"/>
  <c r="Q54" i="5"/>
  <c r="T54" i="5"/>
  <c r="U41" i="1"/>
  <c r="U44" i="1" s="1"/>
  <c r="V42" i="1"/>
  <c r="U55" i="5"/>
  <c r="M55" i="1"/>
  <c r="U54" i="5"/>
  <c r="V41" i="1"/>
  <c r="V44" i="1" s="1"/>
  <c r="S42" i="1"/>
  <c r="R55" i="5"/>
  <c r="W42" i="1"/>
  <c r="V55" i="5"/>
  <c r="S41" i="1"/>
  <c r="S44" i="1" s="1"/>
  <c r="R54" i="5"/>
  <c r="M54" i="1"/>
  <c r="P54" i="5"/>
  <c r="Q41" i="1"/>
  <c r="Q44" i="1" s="1"/>
  <c r="M54" i="5"/>
  <c r="R42" i="1"/>
  <c r="Q55" i="5"/>
  <c r="P55" i="5"/>
  <c r="Q42" i="1"/>
  <c r="O54" i="5"/>
  <c r="P41" i="1"/>
  <c r="P44" i="1" s="1"/>
  <c r="S54" i="5"/>
  <c r="T41" i="1"/>
  <c r="T44" i="1" s="1"/>
  <c r="V54" i="5"/>
  <c r="W41" i="1"/>
  <c r="W44" i="1" s="1"/>
  <c r="O55" i="5"/>
  <c r="P42" i="1"/>
  <c r="N55" i="5"/>
  <c r="O42" i="1"/>
  <c r="U42" i="1"/>
  <c r="T55" i="5"/>
  <c r="L58" i="1"/>
  <c r="J69" i="9"/>
  <c r="J70" i="9" s="1"/>
  <c r="L55" i="9"/>
  <c r="L53" i="9"/>
  <c r="M37" i="1"/>
  <c r="K8" i="9" s="1"/>
  <c r="K69" i="9"/>
  <c r="K70" i="9" s="1"/>
  <c r="B86" i="1"/>
  <c r="M5" i="9"/>
  <c r="M51" i="9"/>
  <c r="X75" i="1"/>
  <c r="X77" i="1"/>
  <c r="S53" i="1"/>
  <c r="X54" i="1"/>
  <c r="W53" i="1"/>
  <c r="O65" i="1"/>
  <c r="M14" i="9" s="1"/>
  <c r="X53" i="1"/>
  <c r="X55" i="1"/>
  <c r="O48" i="5"/>
  <c r="N67" i="5"/>
  <c r="M32" i="9" s="1"/>
  <c r="O76" i="5"/>
  <c r="N55" i="1"/>
  <c r="O72" i="5"/>
  <c r="O74" i="5"/>
  <c r="M56" i="1"/>
  <c r="O73" i="5"/>
  <c r="O77" i="5"/>
  <c r="E14" i="3"/>
  <c r="J15" i="9"/>
  <c r="N65" i="5"/>
  <c r="M30" i="9" s="1"/>
  <c r="N58" i="5"/>
  <c r="N64" i="5"/>
  <c r="M29" i="9" s="1"/>
  <c r="N66" i="5"/>
  <c r="M31" i="9" s="1"/>
  <c r="M67" i="1"/>
  <c r="J8" i="9"/>
  <c r="L56" i="1"/>
  <c r="L45" i="1"/>
  <c r="K13" i="9"/>
  <c r="X83" i="1"/>
  <c r="L11" i="9"/>
  <c r="L5" i="9"/>
  <c r="M47" i="1"/>
  <c r="K7" i="9"/>
  <c r="M59" i="1"/>
  <c r="M58" i="1"/>
  <c r="O71" i="5"/>
  <c r="M68" i="1"/>
  <c r="K16" i="9" s="1"/>
  <c r="M66" i="1"/>
  <c r="M78" i="1"/>
  <c r="L68" i="5"/>
  <c r="M45" i="1"/>
  <c r="N53" i="1"/>
  <c r="N47" i="1"/>
  <c r="N63" i="1"/>
  <c r="N54" i="1"/>
  <c r="N81" i="1"/>
  <c r="N82" i="1"/>
  <c r="N65" i="1"/>
  <c r="O81" i="1"/>
  <c r="O82" i="1"/>
  <c r="M68" i="5"/>
  <c r="O70" i="1"/>
  <c r="M18" i="9" s="1"/>
  <c r="X76" i="1"/>
  <c r="X64" i="1"/>
  <c r="X31" i="1"/>
  <c r="X34" i="1" s="1"/>
  <c r="V69" i="9" s="1"/>
  <c r="V70" i="9" s="1"/>
  <c r="N69" i="1"/>
  <c r="L17" i="9" s="1"/>
  <c r="N70" i="1"/>
  <c r="L18" i="9" s="1"/>
  <c r="O17" i="1"/>
  <c r="O77" i="1" s="1"/>
  <c r="N17" i="1"/>
  <c r="N77" i="1" s="1"/>
  <c r="O58" i="5"/>
  <c r="O63" i="5"/>
  <c r="N28" i="9" s="1"/>
  <c r="O64" i="5"/>
  <c r="N29" i="9" s="1"/>
  <c r="O65" i="5"/>
  <c r="N30" i="9" s="1"/>
  <c r="O66" i="5"/>
  <c r="N31" i="9" s="1"/>
  <c r="O67" i="5"/>
  <c r="N32" i="9" s="1"/>
  <c r="S58" i="5"/>
  <c r="S63" i="5"/>
  <c r="S64" i="5"/>
  <c r="S65" i="5"/>
  <c r="S66" i="5"/>
  <c r="S67" i="5"/>
  <c r="W58" i="5"/>
  <c r="W63" i="5"/>
  <c r="W64" i="5"/>
  <c r="W65" i="5"/>
  <c r="W66" i="5"/>
  <c r="W67" i="5"/>
  <c r="R58" i="5"/>
  <c r="R63" i="5"/>
  <c r="R64" i="5"/>
  <c r="R65" i="5"/>
  <c r="R66" i="5"/>
  <c r="R67" i="5"/>
  <c r="V58" i="5"/>
  <c r="V63" i="5"/>
  <c r="V64" i="5"/>
  <c r="V65" i="5"/>
  <c r="V66" i="5"/>
  <c r="V67" i="5"/>
  <c r="Q58" i="5"/>
  <c r="Q63" i="5"/>
  <c r="Q64" i="5"/>
  <c r="Q65" i="5"/>
  <c r="Q66" i="5"/>
  <c r="Q67" i="5"/>
  <c r="U58" i="5"/>
  <c r="U63" i="5"/>
  <c r="U64" i="5"/>
  <c r="U65" i="5"/>
  <c r="U66" i="5"/>
  <c r="U67" i="5"/>
  <c r="P58" i="5"/>
  <c r="P63" i="5"/>
  <c r="P64" i="5"/>
  <c r="P65" i="5"/>
  <c r="P66" i="5"/>
  <c r="P67" i="5"/>
  <c r="T58" i="5"/>
  <c r="T63" i="5"/>
  <c r="T64" i="5"/>
  <c r="T65" i="5"/>
  <c r="T66" i="5"/>
  <c r="T67" i="5"/>
  <c r="O53" i="1"/>
  <c r="O63" i="1"/>
  <c r="M12" i="9" s="1"/>
  <c r="W55" i="1"/>
  <c r="W54" i="1"/>
  <c r="S54" i="1"/>
  <c r="R54" i="1"/>
  <c r="O69" i="1"/>
  <c r="M17" i="9" s="1"/>
  <c r="O55" i="1" l="1"/>
  <c r="P54" i="1"/>
  <c r="P55" i="1"/>
  <c r="S55" i="1"/>
  <c r="Q54" i="1"/>
  <c r="U53" i="1"/>
  <c r="U54" i="1"/>
  <c r="Q53" i="1"/>
  <c r="Q55" i="1"/>
  <c r="P53" i="1"/>
  <c r="U55" i="1"/>
  <c r="T53" i="1"/>
  <c r="T54" i="1"/>
  <c r="V54" i="1"/>
  <c r="R53" i="1"/>
  <c r="R55" i="1"/>
  <c r="T55" i="1"/>
  <c r="O54" i="1"/>
  <c r="V53" i="1"/>
  <c r="V55" i="1"/>
  <c r="M55" i="9"/>
  <c r="M53" i="9"/>
  <c r="P45" i="1"/>
  <c r="Q45" i="1"/>
  <c r="O45" i="1"/>
  <c r="S45" i="1"/>
  <c r="U45" i="1"/>
  <c r="T45" i="1"/>
  <c r="W45" i="1"/>
  <c r="V45" i="1"/>
  <c r="N68" i="5"/>
  <c r="R45" i="1"/>
  <c r="L6" i="9"/>
  <c r="M48" i="1"/>
  <c r="L14" i="9"/>
  <c r="L12" i="9"/>
  <c r="K15" i="9"/>
  <c r="N45" i="1"/>
  <c r="O31" i="1"/>
  <c r="O34" i="1" s="1"/>
  <c r="M6" i="9"/>
  <c r="X78" i="1"/>
  <c r="N31" i="1"/>
  <c r="N34" i="1" s="1"/>
  <c r="N48" i="1"/>
  <c r="O83" i="1"/>
  <c r="N83" i="1"/>
  <c r="O64" i="1"/>
  <c r="M13" i="9" s="1"/>
  <c r="O76" i="1"/>
  <c r="X67" i="1"/>
  <c r="O75" i="1"/>
  <c r="N64" i="1"/>
  <c r="N76" i="1"/>
  <c r="N75" i="1"/>
  <c r="T68" i="5"/>
  <c r="P68" i="5"/>
  <c r="U68" i="5"/>
  <c r="Q68" i="5"/>
  <c r="V68" i="5"/>
  <c r="R68" i="5"/>
  <c r="W68" i="5"/>
  <c r="S68" i="5"/>
  <c r="O68" i="5"/>
  <c r="V8" i="1"/>
  <c r="T51" i="9" s="1"/>
  <c r="T53" i="9" s="1"/>
  <c r="W8" i="1"/>
  <c r="U51" i="9" s="1"/>
  <c r="U53" i="9" s="1"/>
  <c r="Q8" i="1"/>
  <c r="O51" i="9" s="1"/>
  <c r="R8" i="1"/>
  <c r="P51" i="9" s="1"/>
  <c r="S8" i="1"/>
  <c r="Q51" i="9" s="1"/>
  <c r="T8" i="1"/>
  <c r="R51" i="9" s="1"/>
  <c r="R53" i="9" s="1"/>
  <c r="U8" i="1"/>
  <c r="S51" i="9" s="1"/>
  <c r="S53" i="9" s="1"/>
  <c r="P8" i="1"/>
  <c r="P55" i="9" l="1"/>
  <c r="P53" i="9"/>
  <c r="O55" i="9"/>
  <c r="O53" i="9"/>
  <c r="N5" i="9"/>
  <c r="N51" i="9"/>
  <c r="Q55" i="9"/>
  <c r="Q53" i="9"/>
  <c r="M7" i="9"/>
  <c r="M69" i="9"/>
  <c r="M70" i="9" s="1"/>
  <c r="L7" i="9"/>
  <c r="L69" i="9"/>
  <c r="L70" i="9" s="1"/>
  <c r="O66" i="1"/>
  <c r="M15" i="9" s="1"/>
  <c r="O67" i="1"/>
  <c r="N67" i="1"/>
  <c r="O68" i="1"/>
  <c r="M16" i="9" s="1"/>
  <c r="L13" i="9"/>
  <c r="N59" i="1"/>
  <c r="N58" i="1"/>
  <c r="P81" i="1"/>
  <c r="P82" i="1"/>
  <c r="R81" i="1"/>
  <c r="R82" i="1"/>
  <c r="W81" i="1"/>
  <c r="W82" i="1"/>
  <c r="T81" i="1"/>
  <c r="T82" i="1"/>
  <c r="U81" i="1"/>
  <c r="U82" i="1"/>
  <c r="S81" i="1"/>
  <c r="S82" i="1"/>
  <c r="Q81" i="1"/>
  <c r="Q82" i="1"/>
  <c r="V81" i="1"/>
  <c r="V82" i="1"/>
  <c r="U70" i="1"/>
  <c r="U47" i="1"/>
  <c r="Q70" i="1"/>
  <c r="Q47" i="1"/>
  <c r="P70" i="1"/>
  <c r="N18" i="9" s="1"/>
  <c r="P47" i="1"/>
  <c r="O47" i="1"/>
  <c r="T70" i="1"/>
  <c r="T47" i="1"/>
  <c r="R70" i="1"/>
  <c r="R47" i="1"/>
  <c r="W70" i="1"/>
  <c r="W47" i="1"/>
  <c r="O37" i="1"/>
  <c r="O58" i="1"/>
  <c r="O59" i="1"/>
  <c r="O78" i="1"/>
  <c r="S70" i="1"/>
  <c r="S47" i="1"/>
  <c r="V70" i="1"/>
  <c r="V47" i="1"/>
  <c r="X68" i="1"/>
  <c r="X37" i="1"/>
  <c r="X56" i="1" s="1"/>
  <c r="X58" i="1"/>
  <c r="X59" i="1"/>
  <c r="X66" i="1"/>
  <c r="N37" i="1"/>
  <c r="N68" i="1"/>
  <c r="L16" i="9" s="1"/>
  <c r="N78" i="1"/>
  <c r="N66" i="1"/>
  <c r="T69" i="1"/>
  <c r="R69" i="1"/>
  <c r="V69" i="1"/>
  <c r="U69" i="1"/>
  <c r="S69" i="1"/>
  <c r="W69" i="1"/>
  <c r="P63" i="1"/>
  <c r="P65" i="1"/>
  <c r="P69" i="1"/>
  <c r="N17" i="9" s="1"/>
  <c r="Q63" i="1"/>
  <c r="Q69" i="1"/>
  <c r="Q65" i="1"/>
  <c r="W63" i="1"/>
  <c r="W65" i="1"/>
  <c r="V63" i="1"/>
  <c r="V65" i="1"/>
  <c r="U63" i="1"/>
  <c r="U65" i="1"/>
  <c r="T63" i="1"/>
  <c r="T65" i="1"/>
  <c r="S63" i="1"/>
  <c r="S65" i="1"/>
  <c r="R63" i="1"/>
  <c r="R65" i="1"/>
  <c r="P17" i="1"/>
  <c r="P77" i="1" s="1"/>
  <c r="T17" i="1"/>
  <c r="T77" i="1" s="1"/>
  <c r="R17" i="1"/>
  <c r="R77" i="1" s="1"/>
  <c r="W17" i="1"/>
  <c r="W77" i="1" s="1"/>
  <c r="U17" i="1"/>
  <c r="U77" i="1" s="1"/>
  <c r="S17" i="1"/>
  <c r="S77" i="1" s="1"/>
  <c r="Q17" i="1"/>
  <c r="V17" i="1"/>
  <c r="V77" i="1" s="1"/>
  <c r="B89" i="1" l="1"/>
  <c r="N55" i="9"/>
  <c r="N53" i="9"/>
  <c r="B87" i="1"/>
  <c r="Q75" i="1"/>
  <c r="Q77" i="1"/>
  <c r="N12" i="9"/>
  <c r="N14" i="9"/>
  <c r="L15" i="9"/>
  <c r="P75" i="1"/>
  <c r="N6" i="9"/>
  <c r="V83" i="1"/>
  <c r="O56" i="1"/>
  <c r="M8" i="9"/>
  <c r="L8" i="9"/>
  <c r="N56" i="1"/>
  <c r="Q83" i="1"/>
  <c r="S83" i="1"/>
  <c r="U83" i="1"/>
  <c r="T83" i="1"/>
  <c r="W83" i="1"/>
  <c r="R83" i="1"/>
  <c r="P83" i="1"/>
  <c r="U64" i="1"/>
  <c r="U76" i="1"/>
  <c r="U48" i="1"/>
  <c r="R64" i="1"/>
  <c r="R76" i="1"/>
  <c r="R48" i="1"/>
  <c r="V64" i="1"/>
  <c r="V76" i="1"/>
  <c r="V48" i="1"/>
  <c r="S64" i="1"/>
  <c r="S76" i="1"/>
  <c r="S48" i="1"/>
  <c r="W64" i="1"/>
  <c r="W76" i="1"/>
  <c r="W48" i="1"/>
  <c r="T64" i="1"/>
  <c r="T76" i="1"/>
  <c r="T48" i="1"/>
  <c r="V75" i="1"/>
  <c r="R75" i="1"/>
  <c r="Q64" i="1"/>
  <c r="Q76" i="1"/>
  <c r="Q48" i="1"/>
  <c r="P64" i="1"/>
  <c r="P76" i="1"/>
  <c r="P48" i="1"/>
  <c r="O48" i="1"/>
  <c r="S75" i="1"/>
  <c r="W75" i="1"/>
  <c r="T75" i="1"/>
  <c r="U75" i="1"/>
  <c r="V31" i="1"/>
  <c r="V34" i="1" s="1"/>
  <c r="T69" i="9" s="1"/>
  <c r="T70" i="9" s="1"/>
  <c r="R31" i="1"/>
  <c r="R34" i="1" s="1"/>
  <c r="P69" i="9" s="1"/>
  <c r="P70" i="9" s="1"/>
  <c r="S31" i="1"/>
  <c r="S34" i="1" s="1"/>
  <c r="Q69" i="9" s="1"/>
  <c r="Q70" i="9" s="1"/>
  <c r="T31" i="1"/>
  <c r="T34" i="1" s="1"/>
  <c r="R69" i="9" s="1"/>
  <c r="R70" i="9" s="1"/>
  <c r="P31" i="1"/>
  <c r="U31" i="1"/>
  <c r="Q31" i="1"/>
  <c r="W31" i="1"/>
  <c r="B88" i="1" l="1"/>
  <c r="U67" i="1"/>
  <c r="U34" i="1"/>
  <c r="N13" i="9"/>
  <c r="W67" i="1"/>
  <c r="W34" i="1"/>
  <c r="U69" i="9" s="1"/>
  <c r="U70" i="9" s="1"/>
  <c r="Q67" i="1"/>
  <c r="Q34" i="1"/>
  <c r="O69" i="9" s="1"/>
  <c r="O70" i="9" s="1"/>
  <c r="P67" i="1"/>
  <c r="P34" i="1"/>
  <c r="T78" i="1"/>
  <c r="S78" i="1"/>
  <c r="P78" i="1"/>
  <c r="Q78" i="1"/>
  <c r="R78" i="1"/>
  <c r="T66" i="1"/>
  <c r="T67" i="1"/>
  <c r="R68" i="1"/>
  <c r="R67" i="1"/>
  <c r="S68" i="1"/>
  <c r="S67" i="1"/>
  <c r="V66" i="1"/>
  <c r="V67" i="1"/>
  <c r="U78" i="1"/>
  <c r="W78" i="1"/>
  <c r="V78" i="1"/>
  <c r="V37" i="1"/>
  <c r="V56" i="1" s="1"/>
  <c r="V68" i="1"/>
  <c r="T68" i="1"/>
  <c r="S66" i="1"/>
  <c r="R66" i="1"/>
  <c r="T37" i="1"/>
  <c r="T56" i="1" s="1"/>
  <c r="S37" i="1"/>
  <c r="S56" i="1" s="1"/>
  <c r="U66" i="1" l="1"/>
  <c r="S69" i="9"/>
  <c r="S70" i="9" s="1"/>
  <c r="N7" i="9"/>
  <c r="N69" i="9"/>
  <c r="N70" i="9" s="1"/>
  <c r="U68" i="1"/>
  <c r="R37" i="1"/>
  <c r="R56" i="1" s="1"/>
  <c r="U37" i="1"/>
  <c r="U56" i="1" s="1"/>
  <c r="W58" i="1"/>
  <c r="W59" i="1"/>
  <c r="Q66" i="1"/>
  <c r="Q58" i="1"/>
  <c r="Q59" i="1"/>
  <c r="P58" i="1"/>
  <c r="P59" i="1"/>
  <c r="U58" i="1"/>
  <c r="U59" i="1"/>
  <c r="V58" i="1"/>
  <c r="V59" i="1"/>
  <c r="S58" i="1"/>
  <c r="S59" i="1"/>
  <c r="R58" i="1"/>
  <c r="R59" i="1"/>
  <c r="T58" i="1"/>
  <c r="T59" i="1"/>
  <c r="P66" i="1"/>
  <c r="P68" i="1"/>
  <c r="N16" i="9" s="1"/>
  <c r="W68" i="1"/>
  <c r="W66" i="1"/>
  <c r="B90" i="1" s="1"/>
  <c r="P37" i="1"/>
  <c r="Q37" i="1"/>
  <c r="W37" i="1"/>
  <c r="W56" i="1" s="1"/>
  <c r="P56" i="1" l="1"/>
  <c r="N8" i="9"/>
  <c r="N1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Ravi</author>
  </authors>
  <commentList>
    <comment ref="A44" authorId="0" shapeId="0" xr:uid="{00000000-0006-0000-0300-000001000000}">
      <text>
        <r>
          <rPr>
            <b/>
            <sz val="9"/>
            <color rgb="FF000000"/>
            <rFont val="Tahoma"/>
            <family val="2"/>
          </rPr>
          <t>Sum of stated book value per share plus cumulative dividends since 2001.</t>
        </r>
      </text>
    </comment>
  </commentList>
</comments>
</file>

<file path=xl/sharedStrings.xml><?xml version="1.0" encoding="utf-8"?>
<sst xmlns="http://schemas.openxmlformats.org/spreadsheetml/2006/main" count="305" uniqueCount="277">
  <si>
    <t xml:space="preserve"> </t>
  </si>
  <si>
    <t>Revenues:</t>
  </si>
  <si>
    <t xml:space="preserve">  Title Insurance:</t>
  </si>
  <si>
    <t xml:space="preserve">    Agency operations</t>
  </si>
  <si>
    <t>Total Revenues</t>
  </si>
  <si>
    <t>Expenses:</t>
  </si>
  <si>
    <t>Total Expenses</t>
  </si>
  <si>
    <t xml:space="preserve">  Income tax expense (benefit)</t>
  </si>
  <si>
    <t>Net Earnings (Loss)</t>
  </si>
  <si>
    <t>Ratio Analysis:</t>
  </si>
  <si>
    <t xml:space="preserve">  Amount Retained by Agencies / Agency revenues</t>
  </si>
  <si>
    <t xml:space="preserve">  Title Losses &amp; Claims / Total Title Insurance Revenues</t>
  </si>
  <si>
    <t xml:space="preserve">  Employee Costs / Total Revenues</t>
  </si>
  <si>
    <t xml:space="preserve">  Other operating expenses / Total Revenues</t>
  </si>
  <si>
    <t>Earnings Per Share</t>
  </si>
  <si>
    <t>Fully Diluted Shares Outstanding (in thousands)</t>
  </si>
  <si>
    <t xml:space="preserve">  Tax Rate</t>
  </si>
  <si>
    <t xml:space="preserve">      Total Title Insurance Revenues (net of reinsurance)</t>
  </si>
  <si>
    <t xml:space="preserve">  Net Realized Gain/Loss on investments</t>
  </si>
  <si>
    <t xml:space="preserve">  Exchange Services Revenue</t>
  </si>
  <si>
    <t xml:space="preserve">  Other</t>
  </si>
  <si>
    <t xml:space="preserve">  Commissions to agents</t>
  </si>
  <si>
    <t xml:space="preserve">  Provision for claims</t>
  </si>
  <si>
    <t xml:space="preserve">  Business development</t>
  </si>
  <si>
    <t xml:space="preserve">  Filing fees and taxes, other than payroll or income.</t>
  </si>
  <si>
    <t xml:space="preserve">  Premium and retaliatory taxes</t>
  </si>
  <si>
    <t xml:space="preserve">  All Other operating expenses / Total Revenues</t>
  </si>
  <si>
    <t xml:space="preserve">  Net Earnings/ Total Revenues</t>
  </si>
  <si>
    <t>NMF</t>
  </si>
  <si>
    <t xml:space="preserve">  Branch (Direct) Revenues as % of Total Title Revenues</t>
  </si>
  <si>
    <t xml:space="preserve">  Net Earnings / Total Revenues</t>
  </si>
  <si>
    <t>Dividends Per Share</t>
  </si>
  <si>
    <t>Average P/E Ratio</t>
  </si>
  <si>
    <t xml:space="preserve">NMF </t>
  </si>
  <si>
    <t>Shareholders' Equity - Period End</t>
  </si>
  <si>
    <t>Book Value Per Share - Period End</t>
  </si>
  <si>
    <t>Average Price/Period End Book Value</t>
  </si>
  <si>
    <t>Low Price/Period End Book Value</t>
  </si>
  <si>
    <t>High Price/Period End Book Value</t>
  </si>
  <si>
    <t>Kentucky</t>
  </si>
  <si>
    <t>Michigan</t>
  </si>
  <si>
    <t>New York</t>
  </si>
  <si>
    <t>North Carolina</t>
  </si>
  <si>
    <t>Pennsylvania</t>
  </si>
  <si>
    <t>South Carolina</t>
  </si>
  <si>
    <t>Tennessee</t>
  </si>
  <si>
    <t>Virginia</t>
  </si>
  <si>
    <t>West Virginia</t>
  </si>
  <si>
    <t xml:space="preserve">  Professional and contract labor fees</t>
  </si>
  <si>
    <t>Earnings (Loss) Before taxes &amp; Noncontrolling interests</t>
  </si>
  <si>
    <t>Parcel Number</t>
  </si>
  <si>
    <t>Location</t>
  </si>
  <si>
    <t>Sources:</t>
  </si>
  <si>
    <t xml:space="preserve">  Orange County North Carolina Tax Administration Department: http://bit.ly/fJ5ibH</t>
  </si>
  <si>
    <t>Description</t>
  </si>
  <si>
    <t>Appears to be parking lot next to ITIC HQ</t>
  </si>
  <si>
    <t>Investors Title HQ Location</t>
  </si>
  <si>
    <t xml:space="preserve">0.8 acre vacant lot or parking lot </t>
  </si>
  <si>
    <t>Appears to be parking lot adjacent to ITIC HQ</t>
  </si>
  <si>
    <t>Appears to be parking lot across street from ITIC HQ</t>
  </si>
  <si>
    <t>Residential structure adjacent to Parcel 9788370384</t>
  </si>
  <si>
    <t>9788272240.005</t>
  </si>
  <si>
    <t>105B THE FOUNTAINS P83/176</t>
  </si>
  <si>
    <t>Land record indicates office building on site</t>
  </si>
  <si>
    <t>105A THE FOUNTAINS P83/176</t>
  </si>
  <si>
    <t>9788272240.004</t>
  </si>
  <si>
    <t>9788371346</t>
  </si>
  <si>
    <t>Appears to be small home or commercial structure</t>
  </si>
  <si>
    <t>9788372336</t>
  </si>
  <si>
    <t>Small parcel and office building next to ITIC HQ</t>
  </si>
  <si>
    <t>Land</t>
  </si>
  <si>
    <t>Total Assessed</t>
  </si>
  <si>
    <t xml:space="preserve">  GIS System has breakdown between land and improvement values and will show parcels on map.</t>
  </si>
  <si>
    <t xml:space="preserve">  Google Maps "street view" feature used to examine what appears to be on each parcel.</t>
  </si>
  <si>
    <t xml:space="preserve">  Select Search By "Company Name", Enter "Investors Title Company", Tax Year = 2010</t>
  </si>
  <si>
    <t>101 W ROSEMARY ST CHAPEL HILL</t>
  </si>
  <si>
    <t>121 N COLUMBIA ST CHAPEL HILL</t>
  </si>
  <si>
    <t>N/S ROSEMARY ST CHAPEL HILL</t>
  </si>
  <si>
    <t>117 W.ROSEMARY CHAPEL HILL</t>
  </si>
  <si>
    <t>3-4 BL D W N PRITCHARD CHAPEL HILL</t>
  </si>
  <si>
    <t>121 W ROSEMARY ST CHAPEL HILL</t>
  </si>
  <si>
    <t>109 W ROSEMARY ST CHAPEL HILL</t>
  </si>
  <si>
    <t>113 N. COLUMBIA STREET CHAPEL HILL</t>
  </si>
  <si>
    <t>Building</t>
  </si>
  <si>
    <t>Less accumulated depreciation</t>
  </si>
  <si>
    <t>Property and equipment, net</t>
  </si>
  <si>
    <t>Texas</t>
  </si>
  <si>
    <t>ASSETS</t>
  </si>
  <si>
    <t>Investments in securities:</t>
  </si>
  <si>
    <t xml:space="preserve">  Fixed maturities:</t>
  </si>
  <si>
    <t xml:space="preserve">    Available-for-sale, at fair value</t>
  </si>
  <si>
    <t xml:space="preserve">  Short-term investments</t>
  </si>
  <si>
    <t xml:space="preserve">  Other investments</t>
  </si>
  <si>
    <t>Total investments</t>
  </si>
  <si>
    <t>Cash and cash equivalents</t>
  </si>
  <si>
    <t>Premiums and fees receivable</t>
  </si>
  <si>
    <t>Accrued interest and dividends</t>
  </si>
  <si>
    <t>Prepaid expenses and other assets</t>
  </si>
  <si>
    <t>Property acquired in settlement of claims</t>
  </si>
  <si>
    <t>Property, net</t>
  </si>
  <si>
    <t>Current income taxes recoverable</t>
  </si>
  <si>
    <t>Deferred income taxes, net</t>
  </si>
  <si>
    <t>Total assets</t>
  </si>
  <si>
    <t/>
  </si>
  <si>
    <t>LIABILITIES AND STOCKHOLDERS' EQUITY</t>
  </si>
  <si>
    <t>Liabilities:</t>
  </si>
  <si>
    <t xml:space="preserve">  Reserves for claims</t>
  </si>
  <si>
    <t xml:space="preserve">  Accounts payable and accrued liabilities</t>
  </si>
  <si>
    <t xml:space="preserve">  Current income taxes payable</t>
  </si>
  <si>
    <t xml:space="preserve">  Deferred income taxes, net</t>
  </si>
  <si>
    <t>Total liabilities</t>
  </si>
  <si>
    <t>Stockholders equity:</t>
  </si>
  <si>
    <t xml:space="preserve">  Class A Junior Participating preferred stock</t>
  </si>
  <si>
    <t xml:space="preserve">  Common stock</t>
  </si>
  <si>
    <t xml:space="preserve">  Retained earnings</t>
  </si>
  <si>
    <t xml:space="preserve">  Accumulated other comprehensive income</t>
  </si>
  <si>
    <t>Total liabilities and stockholders' equity</t>
  </si>
  <si>
    <t>Shares outstanding</t>
  </si>
  <si>
    <t>Book value/share</t>
  </si>
  <si>
    <t xml:space="preserve">    Held-to-maturity, at amortized cost</t>
  </si>
  <si>
    <t xml:space="preserve">  Commissions and reinsurance payable</t>
  </si>
  <si>
    <t xml:space="preserve">  Premium taxes payable</t>
  </si>
  <si>
    <t>Change in shares outstanding</t>
  </si>
  <si>
    <t>Total investments + Cash</t>
  </si>
  <si>
    <t>Total investments + Cash as  % shareholders equity</t>
  </si>
  <si>
    <t>RATIO ANALYSIS AS % OF TOTAL ASSETS</t>
  </si>
  <si>
    <t xml:space="preserve">  Cash and Cash Equivalents</t>
  </si>
  <si>
    <t xml:space="preserve">  Fixed Income Investments</t>
  </si>
  <si>
    <t xml:space="preserve">  Loss Reserves</t>
  </si>
  <si>
    <t xml:space="preserve">  Debt</t>
  </si>
  <si>
    <t xml:space="preserve">  Shareholders' Equity</t>
  </si>
  <si>
    <t xml:space="preserve">  Equity Investments</t>
  </si>
  <si>
    <t xml:space="preserve">  Cash</t>
  </si>
  <si>
    <t xml:space="preserve">  Fixed income investments</t>
  </si>
  <si>
    <t xml:space="preserve">  Equity investments</t>
  </si>
  <si>
    <t xml:space="preserve">  Short term investments</t>
  </si>
  <si>
    <t xml:space="preserve">  Other  investments</t>
  </si>
  <si>
    <t>Total</t>
  </si>
  <si>
    <t>Investment allocation:</t>
  </si>
  <si>
    <t>Change in book value/share</t>
  </si>
  <si>
    <t>All Others</t>
  </si>
  <si>
    <t>Total Direct Premiums</t>
  </si>
  <si>
    <t>Reinsurance assumed</t>
  </si>
  <si>
    <t>Reinsurance ceded</t>
  </si>
  <si>
    <t>Net Premiums Written</t>
  </si>
  <si>
    <t>Maryland</t>
  </si>
  <si>
    <t>Minnesota</t>
  </si>
  <si>
    <t>Alabama</t>
  </si>
  <si>
    <t>Florida</t>
  </si>
  <si>
    <t>Mississippi</t>
  </si>
  <si>
    <t>Nebraska</t>
  </si>
  <si>
    <t>Arkansas</t>
  </si>
  <si>
    <t>District of Columbia</t>
  </si>
  <si>
    <t>Georgia</t>
  </si>
  <si>
    <t>Indiana</t>
  </si>
  <si>
    <t>Iowa</t>
  </si>
  <si>
    <t>Louisiana</t>
  </si>
  <si>
    <t>New Jersey</t>
  </si>
  <si>
    <t>Ohio</t>
  </si>
  <si>
    <t>Wisconsin</t>
  </si>
  <si>
    <t>Missouri</t>
  </si>
  <si>
    <t>Return on average stockholders' equity</t>
  </si>
  <si>
    <t>Net profit margin</t>
  </si>
  <si>
    <t>Property and Equipment Accounts as of 12/31/2010 (Note 4 of 10-K)</t>
  </si>
  <si>
    <t>Buildings/Improvements</t>
  </si>
  <si>
    <t>Furniture, fixtures, and equipment</t>
  </si>
  <si>
    <t>Automobiles</t>
  </si>
  <si>
    <t xml:space="preserve">  Total</t>
  </si>
  <si>
    <t>Assessed Land Value</t>
  </si>
  <si>
    <t>Assessed building/improvement value</t>
  </si>
  <si>
    <t>Less book value of land</t>
  </si>
  <si>
    <t>Tangible Assets as % of Total Liabilities</t>
  </si>
  <si>
    <t>Less est. net building/improvement book value</t>
  </si>
  <si>
    <t>Estimated excess land value not on balance sheet</t>
  </si>
  <si>
    <t>Estimated  excess building value not on balance sheet</t>
  </si>
  <si>
    <t>Book Value Per Share With Dividends Added Back</t>
  </si>
  <si>
    <t>Change in revenue</t>
  </si>
  <si>
    <t xml:space="preserve">  Pre-tax income / Total Revenues</t>
  </si>
  <si>
    <t xml:space="preserve">  Total Investments (excluding cash)</t>
  </si>
  <si>
    <t>% of revenue by segment:</t>
  </si>
  <si>
    <t>Title insurance services</t>
  </si>
  <si>
    <t>Exchange services</t>
  </si>
  <si>
    <t>Other/Eliminations</t>
  </si>
  <si>
    <t xml:space="preserve">  Agency Revenues as % of total title revenues</t>
  </si>
  <si>
    <t>Change in BV/Share With Dividends added back</t>
  </si>
  <si>
    <t xml:space="preserve">Change in net premiums </t>
  </si>
  <si>
    <t>Agency/Branch revenue split:</t>
  </si>
  <si>
    <t xml:space="preserve">  Agency</t>
  </si>
  <si>
    <t xml:space="preserve">  Branch</t>
  </si>
  <si>
    <t>Investors Title - Real Estate Analysis (2010 Data)</t>
  </si>
  <si>
    <t>Operating Data:</t>
  </si>
  <si>
    <r>
      <t xml:space="preserve">  </t>
    </r>
    <r>
      <rPr>
        <sz val="9"/>
        <color theme="1"/>
        <rFont val="Calibri"/>
        <family val="2"/>
        <scheme val="minor"/>
      </rPr>
      <t>Total title insurance revenues</t>
    </r>
  </si>
  <si>
    <t xml:space="preserve">  Total revenues</t>
  </si>
  <si>
    <t xml:space="preserve">  Net income</t>
  </si>
  <si>
    <t xml:space="preserve">  Earnings per share</t>
  </si>
  <si>
    <t xml:space="preserve">  Employee costs as % of total revenues</t>
  </si>
  <si>
    <t xml:space="preserve">  Net Earnings as % of total revenues</t>
  </si>
  <si>
    <t>Balance Sheet Data:</t>
  </si>
  <si>
    <t xml:space="preserve">  Total stockholders equity</t>
  </si>
  <si>
    <t xml:space="preserve">  Branch (Direct) Revenues as % of title revenues</t>
  </si>
  <si>
    <t xml:space="preserve">  Shares outstanding (end of year)</t>
  </si>
  <si>
    <t xml:space="preserve">  Tangible book value per share  </t>
  </si>
  <si>
    <t>Investments:</t>
  </si>
  <si>
    <t xml:space="preserve">  Total investments</t>
  </si>
  <si>
    <t xml:space="preserve">    Cash</t>
  </si>
  <si>
    <t xml:space="preserve">    Fixed income investments</t>
  </si>
  <si>
    <t xml:space="preserve">    Equity investments</t>
  </si>
  <si>
    <t xml:space="preserve">    Short term investments</t>
  </si>
  <si>
    <r>
      <t xml:space="preserve">  </t>
    </r>
    <r>
      <rPr>
        <i/>
        <sz val="9"/>
        <color theme="1"/>
        <rFont val="Calibri"/>
        <family val="2"/>
        <scheme val="minor"/>
      </rPr>
      <t>Investment allocation:</t>
    </r>
  </si>
  <si>
    <t xml:space="preserve">  Retained by agencies as % of agency revenue</t>
  </si>
  <si>
    <t xml:space="preserve">  Title losses &amp; claims as % of title revenue</t>
  </si>
  <si>
    <t xml:space="preserve">  Other operating expenses as % of total revenues</t>
  </si>
  <si>
    <t>Redeemable non-controlling interest</t>
  </si>
  <si>
    <t xml:space="preserve">  Net income attributable to non-controlling interests</t>
  </si>
  <si>
    <t>(Not updated since 2010)</t>
  </si>
  <si>
    <t>Included in A/P Line</t>
  </si>
  <si>
    <t xml:space="preserve">Fair value multiple </t>
  </si>
  <si>
    <t>Investors Title Company Balance Sheet Analysis - 2001 to Q1 2022</t>
  </si>
  <si>
    <t>Updated 6/23/2022</t>
  </si>
  <si>
    <t xml:space="preserve">  Equity securities, at fair value</t>
  </si>
  <si>
    <t xml:space="preserve">    Total stockholders' equity attributable to the Company</t>
  </si>
  <si>
    <t xml:space="preserve">  Noncontrolling interests</t>
  </si>
  <si>
    <t xml:space="preserve">  Total stockholders' equity</t>
  </si>
  <si>
    <t>Goodwill and other intangible assets, net</t>
  </si>
  <si>
    <t>Tangible book value/share</t>
  </si>
  <si>
    <t>Change in tangible book value/share</t>
  </si>
  <si>
    <t>Other assets</t>
  </si>
  <si>
    <t>Operating lease right-of-use assets</t>
  </si>
  <si>
    <t xml:space="preserve">  Operating lease liabilities</t>
  </si>
  <si>
    <t>Investors Title Company Operating History - 1999 to Q1 2022</t>
  </si>
  <si>
    <t>Q1 2022</t>
  </si>
  <si>
    <t>Tangible Book Value Per Share - Period End</t>
  </si>
  <si>
    <t xml:space="preserve">    Home and Branch operations</t>
  </si>
  <si>
    <t xml:space="preserve">  Interest and dividends</t>
  </si>
  <si>
    <t xml:space="preserve">  Non-title services</t>
  </si>
  <si>
    <t xml:space="preserve">  Other investment income</t>
  </si>
  <si>
    <t xml:space="preserve">  Net unrealized gain (loss) on equity investments</t>
  </si>
  <si>
    <t xml:space="preserve">  Escrow and other title-related fees</t>
  </si>
  <si>
    <t xml:space="preserve">  Office and technology expenses</t>
  </si>
  <si>
    <t xml:space="preserve">  Personnel expenses</t>
  </si>
  <si>
    <t>Q1 2021</t>
  </si>
  <si>
    <t>Average Ratios:   2001 to 2021</t>
  </si>
  <si>
    <t>Stock Price - Closing High</t>
  </si>
  <si>
    <t>Stock Price - Closing Low</t>
  </si>
  <si>
    <t xml:space="preserve">  Dividends per share</t>
  </si>
  <si>
    <t xml:space="preserve">    Other investments</t>
  </si>
  <si>
    <t>Investors Title Company Key Data:  2009 to 2021</t>
  </si>
  <si>
    <t>Illinois</t>
  </si>
  <si>
    <t>Investors Title Regional Breakdown - Premiums by State - 2001 to 2021</t>
  </si>
  <si>
    <t>Reserve for Claims:</t>
  </si>
  <si>
    <t xml:space="preserve">  Known title claims</t>
  </si>
  <si>
    <t xml:space="preserve">  IBNR</t>
  </si>
  <si>
    <t>Total reserve for claims</t>
  </si>
  <si>
    <t>Balance, beginning of period</t>
  </si>
  <si>
    <t>Provision related to:</t>
  </si>
  <si>
    <t xml:space="preserve">  Current year</t>
  </si>
  <si>
    <t xml:space="preserve">  Prior years</t>
  </si>
  <si>
    <t xml:space="preserve">    Total provision charged to operations</t>
  </si>
  <si>
    <t>Claims paid, net of recoveries, related to:</t>
  </si>
  <si>
    <t xml:space="preserve">    Total claims paid, net of recoveries</t>
  </si>
  <si>
    <t>Balance, end of period</t>
  </si>
  <si>
    <t>Total Title Insurance Revenues</t>
  </si>
  <si>
    <t>Total provision for Claims</t>
  </si>
  <si>
    <t>Total provision  for Claims as a % of title insurance revenues</t>
  </si>
  <si>
    <t>Provision for current year</t>
  </si>
  <si>
    <t>Provision for current year as a % of title insurance revenues</t>
  </si>
  <si>
    <t>Capital Allocation Statistics:</t>
  </si>
  <si>
    <t>Net cash provided by operating activities</t>
  </si>
  <si>
    <t>Less purchases of property, equipment, and software</t>
  </si>
  <si>
    <t>Estimated Free Cash Flow</t>
  </si>
  <si>
    <t>Repurchases of common stock</t>
  </si>
  <si>
    <t>Dividends</t>
  </si>
  <si>
    <t>Total cash returned to shareholders</t>
  </si>
  <si>
    <t>Cash returned to shareholders as % of FCF</t>
  </si>
  <si>
    <t>Net income</t>
  </si>
  <si>
    <t>FCF as % of net income</t>
  </si>
  <si>
    <t>All other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</si>
</sst>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_(* #,##0.0_);_(* \(#,##0.0\);_(* &quot;-&quot;??_);_(@_)"/>
  </numFmts>
  <fonts count="11" x14ac:knownFonts="1">
    <font>
      <sz val="11"/>
      <color theme="1"/>
      <name val="Calibri"/>
      <family val="2"/>
      <scheme val="minor"/>
    </font>
    <font>
      <sz val="12"/>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sz val="11"/>
      <color theme="1"/>
      <name val="Calibri"/>
      <family val="2"/>
      <scheme val="minor"/>
    </font>
    <font>
      <b/>
      <sz val="8"/>
      <color theme="1"/>
      <name val="Calibri"/>
      <family val="2"/>
      <scheme val="minor"/>
    </font>
    <font>
      <b/>
      <i/>
      <sz val="9"/>
      <color theme="1"/>
      <name val="Calibri"/>
      <family val="2"/>
      <scheme val="minor"/>
    </font>
    <font>
      <b/>
      <sz val="9"/>
      <color rgb="FF000000"/>
      <name val="Tahoma"/>
      <family val="2"/>
    </font>
    <font>
      <b/>
      <sz val="9"/>
      <color rgb="FFFF0000"/>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bgColor indexed="64"/>
      </patternFill>
    </fill>
    <fill>
      <patternFill patternType="solid">
        <fgColor rgb="FFFFC000"/>
        <bgColor indexed="64"/>
      </patternFill>
    </fill>
    <fill>
      <patternFill patternType="solid">
        <fgColor theme="4" tint="0.79998168889431442"/>
        <bgColor indexed="64"/>
      </patternFill>
    </fill>
  </fills>
  <borders count="8">
    <border>
      <left/>
      <right/>
      <top/>
      <bottom/>
      <diagonal/>
    </border>
    <border>
      <left/>
      <right/>
      <top style="thin">
        <color auto="1"/>
      </top>
      <bottom/>
      <diagonal/>
    </border>
    <border>
      <left/>
      <right/>
      <top style="thin">
        <color auto="1"/>
      </top>
      <bottom style="double">
        <color auto="1"/>
      </bottom>
      <diagonal/>
    </border>
    <border>
      <left/>
      <right/>
      <top/>
      <bottom style="thin">
        <color auto="1"/>
      </bottom>
      <diagonal/>
    </border>
    <border>
      <left/>
      <right style="double">
        <color auto="1"/>
      </right>
      <top/>
      <bottom/>
      <diagonal/>
    </border>
    <border>
      <left/>
      <right style="double">
        <color auto="1"/>
      </right>
      <top style="thin">
        <color auto="1"/>
      </top>
      <bottom/>
      <diagonal/>
    </border>
    <border>
      <left/>
      <right style="double">
        <color auto="1"/>
      </right>
      <top/>
      <bottom style="thin">
        <color auto="1"/>
      </bottom>
      <diagonal/>
    </border>
    <border>
      <left/>
      <right style="double">
        <color auto="1"/>
      </right>
      <top style="thin">
        <color auto="1"/>
      </top>
      <bottom style="double">
        <color auto="1"/>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110">
    <xf numFmtId="0" fontId="0" fillId="0" borderId="0" xfId="0"/>
    <xf numFmtId="0" fontId="3" fillId="0" borderId="0" xfId="0" applyFont="1"/>
    <xf numFmtId="0" fontId="4" fillId="0" borderId="0" xfId="0" applyFont="1"/>
    <xf numFmtId="0" fontId="4" fillId="0" borderId="0" xfId="0" applyFont="1" applyAlignment="1">
      <alignment horizontal="center"/>
    </xf>
    <xf numFmtId="43" fontId="3" fillId="0" borderId="0" xfId="1" applyFont="1"/>
    <xf numFmtId="164" fontId="3" fillId="0" borderId="0" xfId="1" applyNumberFormat="1" applyFont="1"/>
    <xf numFmtId="164" fontId="4" fillId="0" borderId="1" xfId="1" applyNumberFormat="1" applyFont="1" applyBorder="1"/>
    <xf numFmtId="0" fontId="5" fillId="0" borderId="0" xfId="0" applyFont="1"/>
    <xf numFmtId="165" fontId="4" fillId="0" borderId="0" xfId="0" applyNumberFormat="1" applyFont="1"/>
    <xf numFmtId="164" fontId="4" fillId="0" borderId="2" xfId="1" applyNumberFormat="1" applyFont="1" applyBorder="1"/>
    <xf numFmtId="0" fontId="3" fillId="0" borderId="0" xfId="0" applyFont="1" applyAlignment="1">
      <alignment horizontal="center"/>
    </xf>
    <xf numFmtId="0" fontId="3" fillId="0" borderId="0" xfId="0" applyFont="1" applyAlignment="1">
      <alignment horizontal="left"/>
    </xf>
    <xf numFmtId="49" fontId="3" fillId="0" borderId="0" xfId="0" applyNumberFormat="1" applyFont="1" applyAlignment="1">
      <alignment horizontal="center"/>
    </xf>
    <xf numFmtId="0" fontId="4" fillId="0" borderId="0" xfId="0" applyFont="1" applyAlignment="1">
      <alignment horizontal="left"/>
    </xf>
    <xf numFmtId="164" fontId="3" fillId="0" borderId="1" xfId="1" applyNumberFormat="1" applyFont="1" applyBorder="1"/>
    <xf numFmtId="164" fontId="7" fillId="0" borderId="0" xfId="1" applyNumberFormat="1" applyFont="1" applyFill="1" applyAlignment="1">
      <alignment horizontal="center" vertical="center"/>
    </xf>
    <xf numFmtId="164" fontId="3" fillId="0" borderId="0" xfId="0" applyNumberFormat="1" applyFont="1"/>
    <xf numFmtId="164" fontId="3" fillId="0" borderId="0" xfId="1" applyNumberFormat="1" applyFont="1" applyBorder="1" applyAlignment="1">
      <alignment horizontal="center" vertical="center"/>
    </xf>
    <xf numFmtId="164" fontId="7" fillId="0" borderId="1" xfId="1" applyNumberFormat="1" applyFont="1" applyFill="1" applyBorder="1" applyAlignment="1">
      <alignment vertical="center"/>
    </xf>
    <xf numFmtId="164" fontId="7" fillId="0" borderId="0" xfId="1" applyNumberFormat="1" applyFont="1" applyFill="1" applyBorder="1" applyAlignment="1">
      <alignment horizontal="center" vertical="center"/>
    </xf>
    <xf numFmtId="164" fontId="7" fillId="0" borderId="0" xfId="1" applyNumberFormat="1" applyFont="1" applyFill="1" applyBorder="1" applyAlignment="1">
      <alignment vertical="center"/>
    </xf>
    <xf numFmtId="164" fontId="7" fillId="0" borderId="0" xfId="1" applyNumberFormat="1" applyFont="1" applyFill="1" applyBorder="1" applyAlignment="1">
      <alignment wrapText="1"/>
    </xf>
    <xf numFmtId="164" fontId="7" fillId="0" borderId="0" xfId="1" applyNumberFormat="1" applyFont="1" applyFill="1" applyBorder="1" applyAlignment="1">
      <alignment horizontal="center" wrapText="1"/>
    </xf>
    <xf numFmtId="164" fontId="7" fillId="0" borderId="0" xfId="1" applyNumberFormat="1" applyFont="1" applyFill="1" applyAlignment="1"/>
    <xf numFmtId="164" fontId="3" fillId="0" borderId="0" xfId="1" applyNumberFormat="1" applyFont="1" applyFill="1"/>
    <xf numFmtId="164" fontId="3" fillId="0" borderId="0" xfId="1" applyNumberFormat="1" applyFont="1" applyAlignment="1">
      <alignment horizontal="left"/>
    </xf>
    <xf numFmtId="164" fontId="3" fillId="0" borderId="1" xfId="1" applyNumberFormat="1" applyFont="1" applyBorder="1" applyAlignment="1">
      <alignment horizontal="left"/>
    </xf>
    <xf numFmtId="164" fontId="4" fillId="0" borderId="1" xfId="1" applyNumberFormat="1" applyFont="1" applyBorder="1" applyAlignment="1">
      <alignment horizontal="left"/>
    </xf>
    <xf numFmtId="164" fontId="3" fillId="0" borderId="0" xfId="0" applyNumberFormat="1" applyFont="1" applyAlignment="1">
      <alignment horizontal="left"/>
    </xf>
    <xf numFmtId="164" fontId="4" fillId="0" borderId="2" xfId="0" applyNumberFormat="1" applyFont="1" applyBorder="1" applyAlignment="1">
      <alignment horizontal="left"/>
    </xf>
    <xf numFmtId="0" fontId="4" fillId="2" borderId="0" xfId="0" applyFont="1" applyFill="1" applyAlignment="1">
      <alignment horizontal="center"/>
    </xf>
    <xf numFmtId="9" fontId="3" fillId="0" borderId="0" xfId="2" applyFont="1"/>
    <xf numFmtId="0" fontId="4" fillId="2" borderId="0" xfId="0" applyFont="1" applyFill="1"/>
    <xf numFmtId="43" fontId="3" fillId="0" borderId="0" xfId="1" applyFont="1" applyBorder="1"/>
    <xf numFmtId="164" fontId="3" fillId="0" borderId="0" xfId="1" applyNumberFormat="1" applyFont="1" applyBorder="1"/>
    <xf numFmtId="164" fontId="4" fillId="0" borderId="2" xfId="1" applyNumberFormat="1" applyFont="1" applyFill="1" applyBorder="1"/>
    <xf numFmtId="0" fontId="3" fillId="0" borderId="0" xfId="0" quotePrefix="1" applyFont="1"/>
    <xf numFmtId="164" fontId="3" fillId="0" borderId="1" xfId="1" applyNumberFormat="1" applyFont="1" applyFill="1" applyBorder="1"/>
    <xf numFmtId="43" fontId="3" fillId="0" borderId="0" xfId="1" applyFont="1" applyFill="1"/>
    <xf numFmtId="165" fontId="3" fillId="0" borderId="0" xfId="2" applyNumberFormat="1" applyFont="1" applyFill="1"/>
    <xf numFmtId="9" fontId="3" fillId="0" borderId="0" xfId="2" applyFont="1" applyFill="1"/>
    <xf numFmtId="9" fontId="3" fillId="0" borderId="1" xfId="2" applyFont="1" applyFill="1" applyBorder="1"/>
    <xf numFmtId="164" fontId="6" fillId="0" borderId="0" xfId="1" applyNumberFormat="1" applyFont="1"/>
    <xf numFmtId="164" fontId="4" fillId="0" borderId="0" xfId="1" applyNumberFormat="1" applyFont="1"/>
    <xf numFmtId="164" fontId="3" fillId="0" borderId="0" xfId="1" quotePrefix="1" applyNumberFormat="1" applyFont="1" applyFill="1"/>
    <xf numFmtId="164" fontId="4" fillId="0" borderId="0" xfId="1" applyNumberFormat="1" applyFont="1" applyFill="1"/>
    <xf numFmtId="9" fontId="3" fillId="0" borderId="0" xfId="2" applyFont="1" applyFill="1" applyBorder="1"/>
    <xf numFmtId="43" fontId="3" fillId="0" borderId="0" xfId="1" applyFont="1" applyFill="1" applyBorder="1"/>
    <xf numFmtId="43" fontId="3" fillId="0" borderId="0" xfId="1" applyFont="1" applyFill="1" applyAlignment="1">
      <alignment horizontal="right"/>
    </xf>
    <xf numFmtId="10" fontId="3" fillId="0" borderId="0" xfId="2" applyNumberFormat="1" applyFont="1" applyFill="1"/>
    <xf numFmtId="164" fontId="3" fillId="0" borderId="0" xfId="1" applyNumberFormat="1" applyFont="1" applyFill="1" applyBorder="1"/>
    <xf numFmtId="165" fontId="3" fillId="0" borderId="0" xfId="2" applyNumberFormat="1" applyFont="1" applyFill="1" applyBorder="1"/>
    <xf numFmtId="165" fontId="3" fillId="0" borderId="0" xfId="2" applyNumberFormat="1" applyFont="1" applyFill="1" applyAlignment="1">
      <alignment horizontal="right"/>
    </xf>
    <xf numFmtId="9" fontId="3" fillId="0" borderId="2" xfId="2" applyFont="1" applyFill="1" applyBorder="1"/>
    <xf numFmtId="164" fontId="4" fillId="0" borderId="2" xfId="0" applyNumberFormat="1" applyFont="1" applyBorder="1"/>
    <xf numFmtId="164" fontId="0" fillId="0" borderId="0" xfId="1" applyNumberFormat="1" applyFont="1"/>
    <xf numFmtId="0" fontId="3" fillId="2" borderId="0" xfId="0" applyFont="1" applyFill="1"/>
    <xf numFmtId="14" fontId="4" fillId="2" borderId="0" xfId="0" applyNumberFormat="1" applyFont="1" applyFill="1" applyAlignment="1">
      <alignment horizontal="center"/>
    </xf>
    <xf numFmtId="14" fontId="4" fillId="2" borderId="3" xfId="0" applyNumberFormat="1" applyFont="1" applyFill="1" applyBorder="1" applyAlignment="1">
      <alignment horizontal="center" vertical="center"/>
    </xf>
    <xf numFmtId="164" fontId="5" fillId="0" borderId="0" xfId="1" applyNumberFormat="1" applyFont="1"/>
    <xf numFmtId="0" fontId="4" fillId="2" borderId="3" xfId="0" applyFont="1" applyFill="1" applyBorder="1" applyAlignment="1">
      <alignment horizontal="center" vertical="center"/>
    </xf>
    <xf numFmtId="0" fontId="4" fillId="0" borderId="2" xfId="0" applyFont="1" applyBorder="1"/>
    <xf numFmtId="165" fontId="4" fillId="0" borderId="2" xfId="2" applyNumberFormat="1" applyFont="1" applyFill="1" applyBorder="1"/>
    <xf numFmtId="9" fontId="5" fillId="0" borderId="0" xfId="2" applyFont="1"/>
    <xf numFmtId="0" fontId="4" fillId="2" borderId="0" xfId="1" applyNumberFormat="1" applyFont="1" applyFill="1" applyAlignment="1">
      <alignment horizontal="center"/>
    </xf>
    <xf numFmtId="0" fontId="6" fillId="2" borderId="0" xfId="0" applyFont="1" applyFill="1"/>
    <xf numFmtId="164" fontId="4" fillId="0" borderId="0" xfId="0" applyNumberFormat="1" applyFont="1"/>
    <xf numFmtId="0" fontId="6" fillId="0" borderId="0" xfId="0" applyFont="1"/>
    <xf numFmtId="0" fontId="5" fillId="2" borderId="3" xfId="0" applyFont="1" applyFill="1" applyBorder="1"/>
    <xf numFmtId="0" fontId="4" fillId="2" borderId="3" xfId="0" applyFont="1" applyFill="1" applyBorder="1" applyAlignment="1">
      <alignment horizontal="center"/>
    </xf>
    <xf numFmtId="0" fontId="8" fillId="0" borderId="0" xfId="0" applyFont="1"/>
    <xf numFmtId="165" fontId="3" fillId="0" borderId="0" xfId="2" applyNumberFormat="1" applyFont="1"/>
    <xf numFmtId="0" fontId="6" fillId="2" borderId="0" xfId="0" applyFont="1" applyFill="1" applyAlignment="1">
      <alignment horizontal="left"/>
    </xf>
    <xf numFmtId="0" fontId="3" fillId="6" borderId="0" xfId="0" applyFont="1" applyFill="1"/>
    <xf numFmtId="14" fontId="4" fillId="6" borderId="0" xfId="0" applyNumberFormat="1" applyFont="1" applyFill="1" applyAlignment="1">
      <alignment horizontal="center"/>
    </xf>
    <xf numFmtId="0" fontId="4" fillId="7" borderId="0" xfId="0" applyFont="1" applyFill="1"/>
    <xf numFmtId="164" fontId="4" fillId="7" borderId="1" xfId="1" applyNumberFormat="1" applyFont="1" applyFill="1" applyBorder="1"/>
    <xf numFmtId="166" fontId="3" fillId="0" borderId="0" xfId="1" applyNumberFormat="1" applyFont="1" applyFill="1" applyBorder="1"/>
    <xf numFmtId="166" fontId="3" fillId="0" borderId="0" xfId="1" applyNumberFormat="1" applyFont="1" applyFill="1"/>
    <xf numFmtId="166" fontId="3" fillId="0" borderId="0" xfId="1" applyNumberFormat="1" applyFont="1" applyFill="1" applyAlignment="1">
      <alignment horizontal="right"/>
    </xf>
    <xf numFmtId="0" fontId="5" fillId="6" borderId="0" xfId="0" applyFont="1" applyFill="1"/>
    <xf numFmtId="0" fontId="4" fillId="6" borderId="0" xfId="0" applyFont="1" applyFill="1" applyAlignment="1">
      <alignment horizontal="center"/>
    </xf>
    <xf numFmtId="0" fontId="4" fillId="6" borderId="4" xfId="0" applyFont="1" applyFill="1" applyBorder="1" applyAlignment="1">
      <alignment horizontal="center"/>
    </xf>
    <xf numFmtId="0" fontId="4" fillId="0" borderId="4" xfId="0" applyFont="1" applyBorder="1"/>
    <xf numFmtId="0" fontId="3" fillId="0" borderId="4" xfId="0" applyFont="1" applyBorder="1"/>
    <xf numFmtId="164" fontId="3" fillId="0" borderId="4" xfId="1" applyNumberFormat="1" applyFont="1" applyBorder="1"/>
    <xf numFmtId="164" fontId="4" fillId="0" borderId="5" xfId="1" applyNumberFormat="1" applyFont="1" applyBorder="1"/>
    <xf numFmtId="164" fontId="4" fillId="0" borderId="7" xfId="1" applyNumberFormat="1" applyFont="1" applyBorder="1"/>
    <xf numFmtId="43" fontId="3" fillId="0" borderId="4" xfId="1" applyFont="1" applyBorder="1"/>
    <xf numFmtId="9" fontId="3" fillId="0" borderId="4" xfId="2" applyFont="1" applyFill="1" applyBorder="1"/>
    <xf numFmtId="43" fontId="3" fillId="0" borderId="4" xfId="1" applyFont="1" applyFill="1" applyBorder="1"/>
    <xf numFmtId="166" fontId="3" fillId="0" borderId="4" xfId="1" applyNumberFormat="1" applyFont="1" applyFill="1" applyBorder="1"/>
    <xf numFmtId="10" fontId="3" fillId="0" borderId="4" xfId="2" applyNumberFormat="1" applyFont="1" applyFill="1" applyBorder="1"/>
    <xf numFmtId="164" fontId="3" fillId="0" borderId="4" xfId="1" applyNumberFormat="1" applyFont="1" applyFill="1" applyBorder="1"/>
    <xf numFmtId="165" fontId="3" fillId="0" borderId="4" xfId="2" applyNumberFormat="1" applyFont="1" applyFill="1" applyBorder="1"/>
    <xf numFmtId="9" fontId="3" fillId="0" borderId="7" xfId="2" applyFont="1" applyFill="1" applyBorder="1"/>
    <xf numFmtId="165" fontId="4" fillId="0" borderId="7" xfId="2" applyNumberFormat="1" applyFont="1" applyFill="1" applyBorder="1"/>
    <xf numFmtId="164" fontId="4" fillId="0" borderId="0" xfId="1" applyNumberFormat="1" applyFont="1" applyFill="1" applyBorder="1"/>
    <xf numFmtId="164" fontId="3" fillId="0" borderId="0" xfId="2" applyNumberFormat="1" applyFont="1"/>
    <xf numFmtId="0" fontId="10" fillId="2" borderId="0" xfId="0" applyFont="1" applyFill="1"/>
    <xf numFmtId="165" fontId="4" fillId="0" borderId="2" xfId="2" applyNumberFormat="1" applyFont="1" applyBorder="1"/>
    <xf numFmtId="0" fontId="4" fillId="4" borderId="0" xfId="0" applyFont="1" applyFill="1" applyAlignment="1">
      <alignment horizontal="center"/>
    </xf>
    <xf numFmtId="0" fontId="6" fillId="2" borderId="0" xfId="0" applyFont="1" applyFill="1" applyAlignment="1">
      <alignment horizontal="left"/>
    </xf>
    <xf numFmtId="164" fontId="3" fillId="0" borderId="0" xfId="1" applyNumberFormat="1" applyFont="1" applyBorder="1" applyAlignment="1">
      <alignment horizontal="center" vertical="center"/>
    </xf>
    <xf numFmtId="164" fontId="3" fillId="0" borderId="3" xfId="1" applyNumberFormat="1" applyFont="1" applyBorder="1" applyAlignment="1">
      <alignment horizontal="center" vertical="center"/>
    </xf>
    <xf numFmtId="0" fontId="4" fillId="5" borderId="3" xfId="0" applyFont="1" applyFill="1" applyBorder="1" applyAlignment="1">
      <alignment horizontal="center"/>
    </xf>
    <xf numFmtId="164" fontId="3" fillId="0" borderId="4" xfId="1" applyNumberFormat="1" applyFont="1" applyBorder="1" applyAlignment="1">
      <alignment horizontal="center" vertical="center"/>
    </xf>
    <xf numFmtId="164" fontId="3" fillId="0" borderId="6" xfId="1" applyNumberFormat="1" applyFont="1" applyBorder="1" applyAlignment="1">
      <alignment horizontal="center" vertical="center"/>
    </xf>
    <xf numFmtId="0" fontId="1" fillId="0" borderId="0" xfId="3"/>
    <xf numFmtId="0" fontId="4" fillId="3" borderId="0" xfId="0" applyFont="1" applyFill="1"/>
  </cellXfs>
  <cellStyles count="4">
    <cellStyle name="Comma" xfId="1" builtinId="3"/>
    <cellStyle name="Normal" xfId="0" builtinId="0"/>
    <cellStyle name="Normal 2 2" xfId="3" xr:uid="{8B88273A-C15F-DA49-9B73-3F3BF7D31C16}"/>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'Operating History Analysis'!$A$41</c:f>
              <c:strCache>
                <c:ptCount val="1"/>
                <c:pt idx="0">
                  <c:v>Book Value Per Share - Period End</c:v>
                </c:pt>
              </c:strCache>
            </c:strRef>
          </c:tx>
          <c:marker>
            <c:symbol val="none"/>
          </c:marker>
          <c:cat>
            <c:numRef>
              <c:f>'Operating History Analysis'!$D$3:$X$3</c:f>
              <c:numCache>
                <c:formatCode>General</c:formatCode>
                <c:ptCount val="21"/>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numCache>
            </c:numRef>
          </c:cat>
          <c:val>
            <c:numRef>
              <c:f>'Operating History Analysis'!$D$41:$X$41</c:f>
              <c:numCache>
                <c:formatCode>_(* #,##0.00_);_(* \(#,##0.00\);_(* "-"??_);_(@_)</c:formatCode>
                <c:ptCount val="21"/>
                <c:pt idx="0">
                  <c:v>120.89023746701847</c:v>
                </c:pt>
                <c:pt idx="1">
                  <c:v>105.93128964059197</c:v>
                </c:pt>
                <c:pt idx="2">
                  <c:v>101.30333509793542</c:v>
                </c:pt>
                <c:pt idx="3">
                  <c:v>93.078431372549019</c:v>
                </c:pt>
                <c:pt idx="4">
                  <c:v>94.292760895719127</c:v>
                </c:pt>
                <c:pt idx="5">
                  <c:v>82.283324214037918</c:v>
                </c:pt>
                <c:pt idx="6">
                  <c:v>73.171659408646136</c:v>
                </c:pt>
                <c:pt idx="7">
                  <c:v>67.990780271540629</c:v>
                </c:pt>
                <c:pt idx="8">
                  <c:v>62.672371325841418</c:v>
                </c:pt>
                <c:pt idx="9">
                  <c:v>56.103156616140382</c:v>
                </c:pt>
                <c:pt idx="10">
                  <c:v>50.535248929985137</c:v>
                </c:pt>
                <c:pt idx="11">
                  <c:v>45.530972191311996</c:v>
                </c:pt>
                <c:pt idx="12">
                  <c:v>42.558764777671442</c:v>
                </c:pt>
                <c:pt idx="13">
                  <c:v>39.183334874074902</c:v>
                </c:pt>
                <c:pt idx="14">
                  <c:v>41.170778802298159</c:v>
                </c:pt>
                <c:pt idx="15">
                  <c:v>37.998928339963904</c:v>
                </c:pt>
                <c:pt idx="16">
                  <c:v>33.065086603536315</c:v>
                </c:pt>
                <c:pt idx="17">
                  <c:v>29.224735834881081</c:v>
                </c:pt>
                <c:pt idx="18">
                  <c:v>25.235898228499838</c:v>
                </c:pt>
                <c:pt idx="19">
                  <c:v>20.93493133805336</c:v>
                </c:pt>
                <c:pt idx="20">
                  <c:v>17.594008340824498</c:v>
                </c:pt>
              </c:numCache>
            </c:numRef>
          </c:val>
          <c:smooth val="0"/>
          <c:extLst>
            <c:ext xmlns:c16="http://schemas.microsoft.com/office/drawing/2014/chart" uri="{C3380CC4-5D6E-409C-BE32-E72D297353CC}">
              <c16:uniqueId val="{00000000-14A4-AB4B-97B2-51FF3C663D50}"/>
            </c:ext>
          </c:extLst>
        </c:ser>
        <c:ser>
          <c:idx val="1"/>
          <c:order val="1"/>
          <c:tx>
            <c:strRef>
              <c:f>'Operating History Analysis'!$A$50</c:f>
              <c:strCache>
                <c:ptCount val="1"/>
                <c:pt idx="0">
                  <c:v>Stock Price - Closing High</c:v>
                </c:pt>
              </c:strCache>
            </c:strRef>
          </c:tx>
          <c:marker>
            <c:symbol val="none"/>
          </c:marker>
          <c:cat>
            <c:numRef>
              <c:f>'Operating History Analysis'!$D$3:$X$3</c:f>
              <c:numCache>
                <c:formatCode>General</c:formatCode>
                <c:ptCount val="21"/>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numCache>
            </c:numRef>
          </c:cat>
          <c:val>
            <c:numRef>
              <c:f>'Operating History Analysis'!$D$50:$X$50</c:f>
              <c:numCache>
                <c:formatCode>_(* #,##0.00_);_(* \(#,##0.00\);_(* "-"??_);_(@_)</c:formatCode>
                <c:ptCount val="21"/>
                <c:pt idx="0">
                  <c:v>245</c:v>
                </c:pt>
                <c:pt idx="1">
                  <c:v>189.9</c:v>
                </c:pt>
                <c:pt idx="2">
                  <c:v>179.48</c:v>
                </c:pt>
                <c:pt idx="3">
                  <c:v>204</c:v>
                </c:pt>
                <c:pt idx="4">
                  <c:v>203.1</c:v>
                </c:pt>
                <c:pt idx="5">
                  <c:v>172.01</c:v>
                </c:pt>
                <c:pt idx="6">
                  <c:v>102.41</c:v>
                </c:pt>
                <c:pt idx="7">
                  <c:v>81.77</c:v>
                </c:pt>
                <c:pt idx="8">
                  <c:v>82.73</c:v>
                </c:pt>
                <c:pt idx="9">
                  <c:v>70.31</c:v>
                </c:pt>
                <c:pt idx="10">
                  <c:v>43.67</c:v>
                </c:pt>
                <c:pt idx="11">
                  <c:v>37.54</c:v>
                </c:pt>
                <c:pt idx="12">
                  <c:v>39</c:v>
                </c:pt>
                <c:pt idx="13">
                  <c:v>50.88</c:v>
                </c:pt>
                <c:pt idx="14">
                  <c:v>55.73</c:v>
                </c:pt>
                <c:pt idx="15">
                  <c:v>54.76</c:v>
                </c:pt>
                <c:pt idx="16">
                  <c:v>44.75</c:v>
                </c:pt>
                <c:pt idx="17">
                  <c:v>37</c:v>
                </c:pt>
                <c:pt idx="18">
                  <c:v>31.5</c:v>
                </c:pt>
                <c:pt idx="19">
                  <c:v>22.96</c:v>
                </c:pt>
                <c:pt idx="20">
                  <c:v>17.440000000000001</c:v>
                </c:pt>
              </c:numCache>
            </c:numRef>
          </c:val>
          <c:smooth val="0"/>
          <c:extLst>
            <c:ext xmlns:c16="http://schemas.microsoft.com/office/drawing/2014/chart" uri="{C3380CC4-5D6E-409C-BE32-E72D297353CC}">
              <c16:uniqueId val="{00000001-14A4-AB4B-97B2-51FF3C663D50}"/>
            </c:ext>
          </c:extLst>
        </c:ser>
        <c:ser>
          <c:idx val="2"/>
          <c:order val="2"/>
          <c:tx>
            <c:strRef>
              <c:f>'Operating History Analysis'!$A$51</c:f>
              <c:strCache>
                <c:ptCount val="1"/>
                <c:pt idx="0">
                  <c:v>Stock Price - Closing Low</c:v>
                </c:pt>
              </c:strCache>
            </c:strRef>
          </c:tx>
          <c:marker>
            <c:symbol val="none"/>
          </c:marker>
          <c:cat>
            <c:numRef>
              <c:f>'Operating History Analysis'!$D$3:$X$3</c:f>
              <c:numCache>
                <c:formatCode>General</c:formatCode>
                <c:ptCount val="21"/>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numCache>
            </c:numRef>
          </c:cat>
          <c:val>
            <c:numRef>
              <c:f>'Operating History Analysis'!$D$51:$X$51</c:f>
              <c:numCache>
                <c:formatCode>_(* #,##0.00_);_(* \(#,##0.00\);_(* "-"??_);_(@_)</c:formatCode>
                <c:ptCount val="21"/>
                <c:pt idx="0">
                  <c:v>141.57</c:v>
                </c:pt>
                <c:pt idx="1">
                  <c:v>102.02</c:v>
                </c:pt>
                <c:pt idx="2">
                  <c:v>134.04</c:v>
                </c:pt>
                <c:pt idx="3">
                  <c:v>158.15</c:v>
                </c:pt>
                <c:pt idx="4">
                  <c:v>118.39</c:v>
                </c:pt>
                <c:pt idx="5">
                  <c:v>78.540000000000006</c:v>
                </c:pt>
                <c:pt idx="6">
                  <c:v>68.62</c:v>
                </c:pt>
                <c:pt idx="7">
                  <c:v>63.09</c:v>
                </c:pt>
                <c:pt idx="8">
                  <c:v>62.14</c:v>
                </c:pt>
                <c:pt idx="9">
                  <c:v>35.799999999999997</c:v>
                </c:pt>
                <c:pt idx="10">
                  <c:v>28.79</c:v>
                </c:pt>
                <c:pt idx="11">
                  <c:v>27.95</c:v>
                </c:pt>
                <c:pt idx="12">
                  <c:v>17.14</c:v>
                </c:pt>
                <c:pt idx="13">
                  <c:v>28.35</c:v>
                </c:pt>
                <c:pt idx="14">
                  <c:v>35.5</c:v>
                </c:pt>
                <c:pt idx="15">
                  <c:v>40.020000000000003</c:v>
                </c:pt>
                <c:pt idx="16">
                  <c:v>34.270000000000003</c:v>
                </c:pt>
                <c:pt idx="17">
                  <c:v>25.1</c:v>
                </c:pt>
                <c:pt idx="18">
                  <c:v>18</c:v>
                </c:pt>
                <c:pt idx="19">
                  <c:v>15.24</c:v>
                </c:pt>
                <c:pt idx="20">
                  <c:v>12.01</c:v>
                </c:pt>
              </c:numCache>
            </c:numRef>
          </c:val>
          <c:smooth val="0"/>
          <c:extLst>
            <c:ext xmlns:c16="http://schemas.microsoft.com/office/drawing/2014/chart" uri="{C3380CC4-5D6E-409C-BE32-E72D297353CC}">
              <c16:uniqueId val="{00000002-14A4-AB4B-97B2-51FF3C663D50}"/>
            </c:ext>
          </c:extLst>
        </c:ser>
        <c:dLbls>
          <c:showLegendKey val="0"/>
          <c:showVal val="0"/>
          <c:showCatName val="0"/>
          <c:showSerName val="0"/>
          <c:showPercent val="0"/>
          <c:showBubbleSize val="0"/>
        </c:dLbls>
        <c:smooth val="0"/>
        <c:axId val="40172160"/>
        <c:axId val="40248832"/>
      </c:lineChart>
      <c:catAx>
        <c:axId val="40172160"/>
        <c:scaling>
          <c:orientation val="maxMin"/>
        </c:scaling>
        <c:delete val="0"/>
        <c:axPos val="b"/>
        <c:numFmt formatCode="General" sourceLinked="1"/>
        <c:majorTickMark val="out"/>
        <c:minorTickMark val="none"/>
        <c:tickLblPos val="nextTo"/>
        <c:crossAx val="40248832"/>
        <c:crosses val="autoZero"/>
        <c:auto val="1"/>
        <c:lblAlgn val="ctr"/>
        <c:lblOffset val="100"/>
        <c:noMultiLvlLbl val="0"/>
      </c:catAx>
      <c:valAx>
        <c:axId val="40248832"/>
        <c:scaling>
          <c:orientation val="minMax"/>
        </c:scaling>
        <c:delete val="0"/>
        <c:axPos val="r"/>
        <c:majorGridlines/>
        <c:numFmt formatCode="_(* #,##0.00_);_(* \(#,##0.00\);_(* &quot;-&quot;??_);_(@_)" sourceLinked="1"/>
        <c:majorTickMark val="out"/>
        <c:minorTickMark val="none"/>
        <c:tickLblPos val="nextTo"/>
        <c:crossAx val="40172160"/>
        <c:crosses val="autoZero"/>
        <c:crossBetween val="between"/>
      </c:valAx>
    </c:plotArea>
    <c:legend>
      <c:legendPos val="t"/>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Net Written Premiums by State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1"/>
          <c:order val="0"/>
          <c:tx>
            <c:strRef>
              <c:f>'Regional Breakdown'!$A$58</c:f>
              <c:strCache>
                <c:ptCount val="1"/>
                <c:pt idx="0">
                  <c:v>North Carolina</c:v>
                </c:pt>
              </c:strCache>
            </c:strRef>
          </c:tx>
          <c:spPr>
            <a:solidFill>
              <a:schemeClr val="accent2"/>
            </a:solidFill>
            <a:ln>
              <a:noFill/>
            </a:ln>
            <a:effectLst/>
          </c:spPr>
          <c:cat>
            <c:numRef>
              <c:f>'Regional Breakdown'!$B$57:$F$57</c:f>
              <c:numCache>
                <c:formatCode>General</c:formatCode>
                <c:ptCount val="5"/>
                <c:pt idx="0">
                  <c:v>2021</c:v>
                </c:pt>
                <c:pt idx="1">
                  <c:v>2020</c:v>
                </c:pt>
                <c:pt idx="2">
                  <c:v>2019</c:v>
                </c:pt>
                <c:pt idx="3">
                  <c:v>2018</c:v>
                </c:pt>
                <c:pt idx="4">
                  <c:v>2017</c:v>
                </c:pt>
              </c:numCache>
            </c:numRef>
          </c:cat>
          <c:val>
            <c:numRef>
              <c:f>'Regional Breakdown'!$B$58:$F$58</c:f>
              <c:numCache>
                <c:formatCode>_(* #,##0_);_(* \(#,##0\);_(* "-"??_);_(@_)</c:formatCode>
                <c:ptCount val="5"/>
                <c:pt idx="0">
                  <c:v>99049000</c:v>
                </c:pt>
                <c:pt idx="1">
                  <c:v>75697000</c:v>
                </c:pt>
                <c:pt idx="2">
                  <c:v>57132000</c:v>
                </c:pt>
                <c:pt idx="3">
                  <c:v>55772000</c:v>
                </c:pt>
                <c:pt idx="4">
                  <c:v>53169000</c:v>
                </c:pt>
              </c:numCache>
            </c:numRef>
          </c:val>
          <c:extLst>
            <c:ext xmlns:c16="http://schemas.microsoft.com/office/drawing/2014/chart" uri="{C3380CC4-5D6E-409C-BE32-E72D297353CC}">
              <c16:uniqueId val="{00000001-8107-EE41-A7C6-1EEC249B529B}"/>
            </c:ext>
          </c:extLst>
        </c:ser>
        <c:ser>
          <c:idx val="3"/>
          <c:order val="1"/>
          <c:tx>
            <c:strRef>
              <c:f>'Regional Breakdown'!$A$59</c:f>
              <c:strCache>
                <c:ptCount val="1"/>
                <c:pt idx="0">
                  <c:v>Texas</c:v>
                </c:pt>
              </c:strCache>
            </c:strRef>
          </c:tx>
          <c:spPr>
            <a:solidFill>
              <a:schemeClr val="accent4"/>
            </a:solidFill>
            <a:ln>
              <a:noFill/>
            </a:ln>
            <a:effectLst/>
          </c:spPr>
          <c:cat>
            <c:numRef>
              <c:f>'Regional Breakdown'!$B$57:$F$57</c:f>
              <c:numCache>
                <c:formatCode>General</c:formatCode>
                <c:ptCount val="5"/>
                <c:pt idx="0">
                  <c:v>2021</c:v>
                </c:pt>
                <c:pt idx="1">
                  <c:v>2020</c:v>
                </c:pt>
                <c:pt idx="2">
                  <c:v>2019</c:v>
                </c:pt>
                <c:pt idx="3">
                  <c:v>2018</c:v>
                </c:pt>
                <c:pt idx="4">
                  <c:v>2017</c:v>
                </c:pt>
              </c:numCache>
            </c:numRef>
          </c:cat>
          <c:val>
            <c:numRef>
              <c:f>'Regional Breakdown'!$B$59:$F$59</c:f>
              <c:numCache>
                <c:formatCode>_(* #,##0_);_(* \(#,##0\);_(* "-"??_);_(@_)</c:formatCode>
                <c:ptCount val="5"/>
                <c:pt idx="0">
                  <c:v>62557000</c:v>
                </c:pt>
                <c:pt idx="1">
                  <c:v>38350000</c:v>
                </c:pt>
                <c:pt idx="2">
                  <c:v>26652000</c:v>
                </c:pt>
                <c:pt idx="3">
                  <c:v>25574000</c:v>
                </c:pt>
                <c:pt idx="4">
                  <c:v>26546000</c:v>
                </c:pt>
              </c:numCache>
            </c:numRef>
          </c:val>
          <c:extLst>
            <c:ext xmlns:c16="http://schemas.microsoft.com/office/drawing/2014/chart" uri="{C3380CC4-5D6E-409C-BE32-E72D297353CC}">
              <c16:uniqueId val="{00000003-8107-EE41-A7C6-1EEC249B529B}"/>
            </c:ext>
          </c:extLst>
        </c:ser>
        <c:ser>
          <c:idx val="0"/>
          <c:order val="2"/>
          <c:tx>
            <c:strRef>
              <c:f>'Regional Breakdown'!$A$60</c:f>
              <c:strCache>
                <c:ptCount val="1"/>
                <c:pt idx="0">
                  <c:v>Georgia</c:v>
                </c:pt>
              </c:strCache>
            </c:strRef>
          </c:tx>
          <c:spPr>
            <a:solidFill>
              <a:schemeClr val="accent1"/>
            </a:solidFill>
            <a:ln>
              <a:noFill/>
            </a:ln>
            <a:effectLst/>
          </c:spPr>
          <c:cat>
            <c:numRef>
              <c:f>'Regional Breakdown'!$B$57:$F$57</c:f>
              <c:numCache>
                <c:formatCode>General</c:formatCode>
                <c:ptCount val="5"/>
                <c:pt idx="0">
                  <c:v>2021</c:v>
                </c:pt>
                <c:pt idx="1">
                  <c:v>2020</c:v>
                </c:pt>
                <c:pt idx="2">
                  <c:v>2019</c:v>
                </c:pt>
                <c:pt idx="3">
                  <c:v>2018</c:v>
                </c:pt>
                <c:pt idx="4">
                  <c:v>2017</c:v>
                </c:pt>
              </c:numCache>
            </c:numRef>
          </c:cat>
          <c:val>
            <c:numRef>
              <c:f>'Regional Breakdown'!$B$60:$F$60</c:f>
              <c:numCache>
                <c:formatCode>_(* #,##0_);_(* \(#,##0\);_(* "-"??_);_(@_)</c:formatCode>
                <c:ptCount val="5"/>
                <c:pt idx="0">
                  <c:v>34619000</c:v>
                </c:pt>
                <c:pt idx="1">
                  <c:v>23502000</c:v>
                </c:pt>
                <c:pt idx="2">
                  <c:v>16422000</c:v>
                </c:pt>
                <c:pt idx="3">
                  <c:v>13592000</c:v>
                </c:pt>
                <c:pt idx="4">
                  <c:v>13166000</c:v>
                </c:pt>
              </c:numCache>
            </c:numRef>
          </c:val>
          <c:extLst>
            <c:ext xmlns:c16="http://schemas.microsoft.com/office/drawing/2014/chart" uri="{C3380CC4-5D6E-409C-BE32-E72D297353CC}">
              <c16:uniqueId val="{00000000-8107-EE41-A7C6-1EEC249B529B}"/>
            </c:ext>
          </c:extLst>
        </c:ser>
        <c:ser>
          <c:idx val="2"/>
          <c:order val="3"/>
          <c:tx>
            <c:strRef>
              <c:f>'Regional Breakdown'!$A$61</c:f>
              <c:strCache>
                <c:ptCount val="1"/>
                <c:pt idx="0">
                  <c:v>South Carolina</c:v>
                </c:pt>
              </c:strCache>
            </c:strRef>
          </c:tx>
          <c:spPr>
            <a:solidFill>
              <a:schemeClr val="accent3"/>
            </a:solidFill>
            <a:ln>
              <a:noFill/>
            </a:ln>
            <a:effectLst/>
          </c:spPr>
          <c:cat>
            <c:numRef>
              <c:f>'Regional Breakdown'!$B$57:$F$57</c:f>
              <c:numCache>
                <c:formatCode>General</c:formatCode>
                <c:ptCount val="5"/>
                <c:pt idx="0">
                  <c:v>2021</c:v>
                </c:pt>
                <c:pt idx="1">
                  <c:v>2020</c:v>
                </c:pt>
                <c:pt idx="2">
                  <c:v>2019</c:v>
                </c:pt>
                <c:pt idx="3">
                  <c:v>2018</c:v>
                </c:pt>
                <c:pt idx="4">
                  <c:v>2017</c:v>
                </c:pt>
              </c:numCache>
            </c:numRef>
          </c:cat>
          <c:val>
            <c:numRef>
              <c:f>'Regional Breakdown'!$B$61:$F$61</c:f>
              <c:numCache>
                <c:formatCode>_(* #,##0_);_(* \(#,##0\);_(* "-"??_);_(@_)</c:formatCode>
                <c:ptCount val="5"/>
                <c:pt idx="0">
                  <c:v>24981000</c:v>
                </c:pt>
                <c:pt idx="1">
                  <c:v>18752000</c:v>
                </c:pt>
                <c:pt idx="2">
                  <c:v>13796000</c:v>
                </c:pt>
                <c:pt idx="3">
                  <c:v>14172000</c:v>
                </c:pt>
                <c:pt idx="4">
                  <c:v>14732000</c:v>
                </c:pt>
              </c:numCache>
            </c:numRef>
          </c:val>
          <c:extLst>
            <c:ext xmlns:c16="http://schemas.microsoft.com/office/drawing/2014/chart" uri="{C3380CC4-5D6E-409C-BE32-E72D297353CC}">
              <c16:uniqueId val="{00000002-8107-EE41-A7C6-1EEC249B529B}"/>
            </c:ext>
          </c:extLst>
        </c:ser>
        <c:ser>
          <c:idx val="4"/>
          <c:order val="4"/>
          <c:tx>
            <c:strRef>
              <c:f>'Regional Breakdown'!$A$62</c:f>
              <c:strCache>
                <c:ptCount val="1"/>
                <c:pt idx="0">
                  <c:v>All other states</c:v>
                </c:pt>
              </c:strCache>
            </c:strRef>
          </c:tx>
          <c:spPr>
            <a:solidFill>
              <a:schemeClr val="accent5"/>
            </a:solidFill>
            <a:ln>
              <a:noFill/>
            </a:ln>
            <a:effectLst/>
          </c:spPr>
          <c:cat>
            <c:numRef>
              <c:f>'Regional Breakdown'!$B$57:$F$57</c:f>
              <c:numCache>
                <c:formatCode>General</c:formatCode>
                <c:ptCount val="5"/>
                <c:pt idx="0">
                  <c:v>2021</c:v>
                </c:pt>
                <c:pt idx="1">
                  <c:v>2020</c:v>
                </c:pt>
                <c:pt idx="2">
                  <c:v>2019</c:v>
                </c:pt>
                <c:pt idx="3">
                  <c:v>2018</c:v>
                </c:pt>
                <c:pt idx="4">
                  <c:v>2017</c:v>
                </c:pt>
              </c:numCache>
            </c:numRef>
          </c:cat>
          <c:val>
            <c:numRef>
              <c:f>'Regional Breakdown'!$B$62:$F$62</c:f>
              <c:numCache>
                <c:formatCode>_(* #,##0_);_(* \(#,##0\);_(* "-"??_);_(@_)</c:formatCode>
                <c:ptCount val="5"/>
                <c:pt idx="0">
                  <c:v>53197000</c:v>
                </c:pt>
                <c:pt idx="1">
                  <c:v>49410000</c:v>
                </c:pt>
                <c:pt idx="2">
                  <c:v>32249000</c:v>
                </c:pt>
                <c:pt idx="3">
                  <c:v>29338000</c:v>
                </c:pt>
                <c:pt idx="4">
                  <c:v>33150000</c:v>
                </c:pt>
              </c:numCache>
            </c:numRef>
          </c:val>
          <c:extLst>
            <c:ext xmlns:c16="http://schemas.microsoft.com/office/drawing/2014/chart" uri="{C3380CC4-5D6E-409C-BE32-E72D297353CC}">
              <c16:uniqueId val="{00000004-8107-EE41-A7C6-1EEC249B529B}"/>
            </c:ext>
          </c:extLst>
        </c:ser>
        <c:dLbls>
          <c:showLegendKey val="0"/>
          <c:showVal val="0"/>
          <c:showCatName val="0"/>
          <c:showSerName val="0"/>
          <c:showPercent val="0"/>
          <c:showBubbleSize val="0"/>
        </c:dLbls>
        <c:axId val="1821871439"/>
        <c:axId val="1846497311"/>
      </c:areaChart>
      <c:catAx>
        <c:axId val="1821871439"/>
        <c:scaling>
          <c:orientation val="maxMin"/>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846497311"/>
        <c:crosses val="autoZero"/>
        <c:auto val="1"/>
        <c:lblAlgn val="ctr"/>
        <c:lblOffset val="100"/>
        <c:noMultiLvlLbl val="0"/>
      </c:catAx>
      <c:valAx>
        <c:axId val="1846497311"/>
        <c:scaling>
          <c:orientation val="minMax"/>
        </c:scaling>
        <c:delete val="0"/>
        <c:axPos val="r"/>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821871439"/>
        <c:crosses val="autoZero"/>
        <c:crossBetween val="midCat"/>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12700</xdr:colOff>
      <xdr:row>51</xdr:row>
      <xdr:rowOff>12700</xdr:rowOff>
    </xdr:to>
    <xdr:sp macro="" textlink="">
      <xdr:nvSpPr>
        <xdr:cNvPr id="2" name="TextBox 1">
          <a:extLst>
            <a:ext uri="{FF2B5EF4-FFF2-40B4-BE49-F238E27FC236}">
              <a16:creationId xmlns:a16="http://schemas.microsoft.com/office/drawing/2014/main" id="{54B2152F-D29A-334A-BA84-77242EFF0892}"/>
            </a:ext>
          </a:extLst>
        </xdr:cNvPr>
        <xdr:cNvSpPr txBox="1"/>
      </xdr:nvSpPr>
      <xdr:spPr>
        <a:xfrm>
          <a:off x="0" y="0"/>
          <a:ext cx="14046200" cy="1037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1" u="sng">
              <a:solidFill>
                <a:schemeClr val="dk1"/>
              </a:solidFill>
              <a:effectLst/>
              <a:latin typeface="+mn-lt"/>
              <a:ea typeface="+mn-ea"/>
              <a:cs typeface="+mn-cs"/>
            </a:rPr>
            <a:t>Investors Title</a:t>
          </a:r>
          <a:r>
            <a:rPr lang="en-US" sz="3600" b="1" u="sng" baseline="0">
              <a:solidFill>
                <a:schemeClr val="dk1"/>
              </a:solidFill>
              <a:effectLst/>
              <a:latin typeface="+mn-lt"/>
              <a:ea typeface="+mn-ea"/>
              <a:cs typeface="+mn-cs"/>
            </a:rPr>
            <a:t> Company</a:t>
          </a:r>
          <a:endParaRPr lang="en-US" sz="3600" b="1" u="sng">
            <a:solidFill>
              <a:schemeClr val="dk1"/>
            </a:solidFill>
            <a:effectLst/>
            <a:latin typeface="+mn-lt"/>
            <a:ea typeface="+mn-ea"/>
            <a:cs typeface="+mn-cs"/>
          </a:endParaRPr>
        </a:p>
        <a:p>
          <a:endParaRPr lang="en-US" sz="1800" b="1" u="sng">
            <a:solidFill>
              <a:schemeClr val="dk1"/>
            </a:solidFill>
            <a:effectLst/>
            <a:latin typeface="+mn-lt"/>
            <a:ea typeface="+mn-ea"/>
            <a:cs typeface="+mn-cs"/>
          </a:endParaRPr>
        </a:p>
        <a:p>
          <a:r>
            <a:rPr lang="en-US" sz="1800" b="1" u="none">
              <a:solidFill>
                <a:schemeClr val="dk1"/>
              </a:solidFill>
              <a:effectLst/>
              <a:latin typeface="+mn-lt"/>
              <a:ea typeface="+mn-ea"/>
              <a:cs typeface="+mn-cs"/>
            </a:rPr>
            <a:t>June</a:t>
          </a:r>
          <a:r>
            <a:rPr lang="en-US" sz="1800" b="1" u="none" baseline="0">
              <a:solidFill>
                <a:schemeClr val="dk1"/>
              </a:solidFill>
              <a:effectLst/>
              <a:latin typeface="+mn-lt"/>
              <a:ea typeface="+mn-ea"/>
              <a:cs typeface="+mn-cs"/>
            </a:rPr>
            <a:t> 2022</a:t>
          </a:r>
        </a:p>
        <a:p>
          <a:endParaRPr lang="en-US" sz="1800" b="1" u="none" baseline="0">
            <a:solidFill>
              <a:schemeClr val="dk1"/>
            </a:solidFill>
            <a:effectLst/>
            <a:latin typeface="+mn-lt"/>
            <a:ea typeface="+mn-ea"/>
            <a:cs typeface="+mn-cs"/>
          </a:endParaRPr>
        </a:p>
        <a:p>
          <a:r>
            <a:rPr lang="en-US" sz="1600" b="1" u="none" baseline="0">
              <a:solidFill>
                <a:schemeClr val="dk1"/>
              </a:solidFill>
              <a:effectLst/>
              <a:latin typeface="+mn-lt"/>
              <a:ea typeface="+mn-ea"/>
              <a:cs typeface="+mn-cs"/>
            </a:rPr>
            <a:t>TERMS OF USE</a:t>
          </a:r>
          <a:endParaRPr lang="en-US" sz="1600" b="1" u="none">
            <a:solidFill>
              <a:schemeClr val="dk1"/>
            </a:solidFill>
            <a:effectLst/>
            <a:latin typeface="+mn-lt"/>
            <a:ea typeface="+mn-ea"/>
            <a:cs typeface="+mn-cs"/>
          </a:endParaRPr>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 Copyright 2022 by The Rational Walk LLC. All rights reserved. </a:t>
          </a:r>
        </a:p>
        <a:p>
          <a:endParaRPr lang="en-US" sz="1400"/>
        </a:p>
        <a:p>
          <a:r>
            <a:rPr lang="en-US" sz="1400" b="1">
              <a:solidFill>
                <a:schemeClr val="dk1"/>
              </a:solidFill>
              <a:effectLst/>
              <a:latin typeface="+mn-lt"/>
              <a:ea typeface="+mn-ea"/>
              <a:cs typeface="+mn-cs"/>
            </a:rPr>
            <a:t>This data contained in this spreadsheet is part of a series of business profiles published by The Rational Walk, LLC. </a:t>
          </a:r>
        </a:p>
        <a:p>
          <a:endParaRPr lang="en-US" sz="1400"/>
        </a:p>
        <a:p>
          <a:r>
            <a:rPr lang="en-US" sz="1400" b="1">
              <a:solidFill>
                <a:schemeClr val="dk1"/>
              </a:solidFill>
              <a:effectLst/>
              <a:latin typeface="+mn-lt"/>
              <a:ea typeface="+mn-ea"/>
              <a:cs typeface="+mn-cs"/>
            </a:rPr>
            <a:t>The purpose of a business profile is to provide readers with information regarding a company’s business model and financial results. Business profiles do not provide intrinsic value estimates regarding whether the securities related to the business are attractive investments. Reports are meant to provide background information for educational purposes. </a:t>
          </a:r>
        </a:p>
        <a:p>
          <a:endParaRPr lang="en-US" sz="1400"/>
        </a:p>
        <a:p>
          <a:r>
            <a:rPr lang="en-US" sz="1400">
              <a:solidFill>
                <a:schemeClr val="dk1"/>
              </a:solidFill>
              <a:effectLst/>
              <a:latin typeface="+mn-lt"/>
              <a:ea typeface="+mn-ea"/>
              <a:cs typeface="+mn-cs"/>
            </a:rPr>
            <a:t>The Rational Walk LLC is not a registered investment advisor. Please consult with your own investment advisor before buying or selling any securities discussed in this report. This report is not investment advice nor is it a recommendation to buy or sell securities. Past performance of securities discussed in this report is not a good indication of future performance.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All content is strictly protected by United States copyright laws. Unlawful reproduction is prohibited. This publication may not be photocopied, electronically redistributed, or quoted without written permission, expect for brief quotations in compliance with the fair use doctrine when accompanied by an acknowledgement of the original source.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information contained in this report is based on sources considered to be reliable, but no guarantees are made regarding accuracy. No warranties are given as to the accuracy or completeness of this analysis. All links to internet sites listed in this publication were valid at the time of publication but may change or become invalid in the future. No assurance can be given regarding the reliability of data contained on these websites.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Note that data in this spreadsheet has been hand entered into Excel from SEC filings and other sources. I do this to gain</a:t>
          </a:r>
          <a:r>
            <a:rPr lang="en-US" sz="1400" baseline="0">
              <a:solidFill>
                <a:schemeClr val="dk1"/>
              </a:solidFill>
              <a:effectLst/>
              <a:latin typeface="+mn-lt"/>
              <a:ea typeface="+mn-ea"/>
              <a:cs typeface="+mn-cs"/>
            </a:rPr>
            <a:t> a better understanding of the company, but hand entering data comes with the risk of error. Although I endeavor to check the data multiple times to increase accuracy, no assurances can be provided that the spreadsheet is free from error.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Opinion and conclusions contained within this report are effective at the date of the report and future circumstances could cause the publisher of the report to arrive at different conclusions. No duty whatsoever exists to provide updates to readers of this report at a later date if future developments change the publisher’s opinions or conclusions. </a:t>
          </a:r>
        </a:p>
        <a:p>
          <a:endParaRPr lang="en-US" sz="1400"/>
        </a:p>
        <a:p>
          <a:r>
            <a:rPr lang="en-US" sz="1400">
              <a:solidFill>
                <a:schemeClr val="dk1"/>
              </a:solidFill>
              <a:effectLst/>
              <a:latin typeface="+mn-lt"/>
              <a:ea typeface="+mn-ea"/>
              <a:cs typeface="+mn-cs"/>
            </a:rPr>
            <a:t>At the date of this report, individuals associated with The Rational Walk LLC does not own shares of Investors Title Company but</a:t>
          </a:r>
          <a:r>
            <a:rPr lang="en-US" sz="1400" baseline="0">
              <a:solidFill>
                <a:schemeClr val="dk1"/>
              </a:solidFill>
              <a:effectLst/>
              <a:latin typeface="+mn-lt"/>
              <a:ea typeface="+mn-ea"/>
              <a:cs typeface="+mn-cs"/>
            </a:rPr>
            <a:t> m</a:t>
          </a:r>
          <a:r>
            <a:rPr lang="en-US" sz="1400">
              <a:solidFill>
                <a:schemeClr val="dk1"/>
              </a:solidFill>
              <a:effectLst/>
              <a:latin typeface="+mn-lt"/>
              <a:ea typeface="+mn-ea"/>
              <a:cs typeface="+mn-cs"/>
            </a:rPr>
            <a:t>ay buy or sell shares at any time, in any quantity, and for any reason without any disclosure to readers of this report. </a:t>
          </a:r>
          <a:endParaRPr lang="en-US" sz="1400"/>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The Rational Walk </a:t>
          </a:r>
          <a:r>
            <a:rPr lang="en-US" sz="1400">
              <a:solidFill>
                <a:schemeClr val="dk1"/>
              </a:solidFill>
              <a:effectLst/>
              <a:latin typeface="+mn-lt"/>
              <a:ea typeface="+mn-ea"/>
              <a:cs typeface="+mn-cs"/>
            </a:rPr>
            <a:t>was founded in 2009. Over a thousand articles have been published over the past thirteen years primarily on topics related to investing and personal finance. In addition, over one hundred books have been reviewed over the years. The Rational Walk’s extensive coverage of Berkshire Hathaway has been mentioned in several news articles. The Rational Walk website and full archive may be accessed at rationalwalk.com. </a:t>
          </a:r>
          <a:endParaRPr lang="en-US" sz="1400"/>
        </a:p>
        <a:p>
          <a:endParaRPr lang="en-US" sz="1400"/>
        </a:p>
        <a:p>
          <a:r>
            <a:rPr lang="en-US" sz="1400" b="1">
              <a:solidFill>
                <a:schemeClr val="dk1"/>
              </a:solidFill>
              <a:effectLst/>
              <a:latin typeface="+mn-lt"/>
              <a:ea typeface="+mn-ea"/>
              <a:cs typeface="+mn-cs"/>
            </a:rPr>
            <a:t>Rational Reflections </a:t>
          </a:r>
          <a:r>
            <a:rPr lang="en-US" sz="1400">
              <a:solidFill>
                <a:schemeClr val="dk1"/>
              </a:solidFill>
              <a:effectLst/>
              <a:latin typeface="+mn-lt"/>
              <a:ea typeface="+mn-ea"/>
              <a:cs typeface="+mn-cs"/>
            </a:rPr>
            <a:t>is a newsletter published by The Rational Walk LLC. The Weekly Digest contains original content and curated links to articles, podcasts, videos, and other content with a high signal-to-noise ratio. Weekly Digest is free. In addition, Rational Reflections publishes profiles of businesses which are distributed to paying subscribers. While there is no set publication schedule for business profiles, subscribers should expect to receive at least twelve profiles per year. </a:t>
          </a:r>
        </a:p>
        <a:p>
          <a:endParaRPr lang="en-US" sz="1400"/>
        </a:p>
        <a:p>
          <a:r>
            <a:rPr lang="en-US" sz="1400" b="1">
              <a:solidFill>
                <a:schemeClr val="dk1"/>
              </a:solidFill>
              <a:effectLst/>
              <a:latin typeface="+mn-lt"/>
              <a:ea typeface="+mn-ea"/>
              <a:cs typeface="+mn-cs"/>
            </a:rPr>
            <a:t>The subscription price for Rational Reflections is $10 per month or $120 per year. </a:t>
          </a:r>
          <a:r>
            <a:rPr lang="en-US" sz="1400">
              <a:solidFill>
                <a:schemeClr val="dk1"/>
              </a:solidFill>
              <a:effectLst/>
              <a:latin typeface="+mn-lt"/>
              <a:ea typeface="+mn-ea"/>
              <a:cs typeface="+mn-cs"/>
            </a:rPr>
            <a:t>Subscriptions are available for purchase at rationalreflections.substack.com/subscribe. Subscriptions are meant to be accessed by a single individual. Please do not redistribute this report or other subscriber-only materials to non-subscribers.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Please direct any inquiries regarding this publication to administrator@rationalwalk.com. </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276225</xdr:colOff>
      <xdr:row>91</xdr:row>
      <xdr:rowOff>0</xdr:rowOff>
    </xdr:from>
    <xdr:to>
      <xdr:col>11</xdr:col>
      <xdr:colOff>533400</xdr:colOff>
      <xdr:row>118</xdr:row>
      <xdr:rowOff>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743700" y="13049250"/>
          <a:ext cx="3781425" cy="411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This</a:t>
          </a:r>
          <a:r>
            <a:rPr lang="en-US" sz="1100" baseline="0"/>
            <a:t> chart plots the high and low stock price for Investors Title along with year-end book value per share.  From 2001 to 2008, the high price for ITIC shares met or exceeded year-end book value in each year.  From 2009 to 2011, shares traded under year-end book value.  Note that except for 2005 and 2006, the low price for ITIC shares during the year was below year-end book value per share.  </a:t>
          </a:r>
        </a:p>
        <a:p>
          <a:endParaRPr lang="en-US" sz="1100" baseline="0"/>
        </a:p>
        <a:p>
          <a:r>
            <a:rPr lang="en-US" sz="1100" baseline="0"/>
            <a:t>In 2013, share price returned to a more normal level as the effects of the recession faded in the minds of market participants.  The shares rarely traded below year-end book value.  It seems likely that barring another real estate downturn shares should no longer trade at steep discounts to book.  With book value around $62 and shares trading near $80 in February 2014, the stock is no longer undervalued and actually appears to be reaching rather high levels on a P/B basis.</a:t>
          </a:r>
        </a:p>
        <a:p>
          <a:endParaRPr lang="en-US" sz="1100" baseline="0"/>
        </a:p>
        <a:p>
          <a:r>
            <a:rPr lang="en-US" sz="1100" baseline="0"/>
            <a:t>UPDATE (6/23/22): After 2013, the share price routinely traded well above book value, never going below a P/B of 1.0 most of the time. </a:t>
          </a:r>
          <a:endParaRPr lang="en-US" sz="1100"/>
        </a:p>
      </xdr:txBody>
    </xdr:sp>
    <xdr:clientData/>
  </xdr:twoCellAnchor>
  <xdr:twoCellAnchor>
    <xdr:from>
      <xdr:col>0</xdr:col>
      <xdr:colOff>9525</xdr:colOff>
      <xdr:row>90</xdr:row>
      <xdr:rowOff>152399</xdr:rowOff>
    </xdr:from>
    <xdr:to>
      <xdr:col>6</xdr:col>
      <xdr:colOff>266700</xdr:colOff>
      <xdr:row>117</xdr:row>
      <xdr:rowOff>142874</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47625</xdr:colOff>
      <xdr:row>3</xdr:row>
      <xdr:rowOff>0</xdr:rowOff>
    </xdr:from>
    <xdr:to>
      <xdr:col>25</xdr:col>
      <xdr:colOff>104775</xdr:colOff>
      <xdr:row>13</xdr:row>
      <xdr:rowOff>133349</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9582150" y="514350"/>
          <a:ext cx="2114550" cy="1847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Investors Title </a:t>
          </a:r>
          <a:r>
            <a:rPr lang="en-US" sz="1100" baseline="0"/>
            <a:t>has significantly reduced granularity of premiums written by state over the past  decade.  Note that the company entered the Texas market for the first time in Q1 2011.  Texas accounted for 39.6% of total premiums written in Q3 2011.</a:t>
          </a:r>
          <a:endParaRPr lang="en-US" sz="1100"/>
        </a:p>
      </xdr:txBody>
    </xdr:sp>
    <xdr:clientData/>
  </xdr:twoCellAnchor>
  <xdr:twoCellAnchor>
    <xdr:from>
      <xdr:col>0</xdr:col>
      <xdr:colOff>0</xdr:colOff>
      <xdr:row>36</xdr:row>
      <xdr:rowOff>156934</xdr:rowOff>
    </xdr:from>
    <xdr:to>
      <xdr:col>7</xdr:col>
      <xdr:colOff>9072</xdr:colOff>
      <xdr:row>55</xdr:row>
      <xdr:rowOff>154215</xdr:rowOff>
    </xdr:to>
    <xdr:graphicFrame macro="">
      <xdr:nvGraphicFramePr>
        <xdr:cNvPr id="2" name="Chart 1">
          <a:extLst>
            <a:ext uri="{FF2B5EF4-FFF2-40B4-BE49-F238E27FC236}">
              <a16:creationId xmlns:a16="http://schemas.microsoft.com/office/drawing/2014/main" id="{E7AA7248-D430-8CDA-4C9C-2F97F68D7A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85724</xdr:colOff>
      <xdr:row>42</xdr:row>
      <xdr:rowOff>47625</xdr:rowOff>
    </xdr:from>
    <xdr:to>
      <xdr:col>5</xdr:col>
      <xdr:colOff>2800349</xdr:colOff>
      <xdr:row>50</xdr:row>
      <xdr:rowOff>66674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85724" y="2809875"/>
          <a:ext cx="7553325" cy="1238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For more information on</a:t>
          </a:r>
          <a:r>
            <a:rPr lang="en-US" sz="1100" baseline="0"/>
            <a:t> the value of Investors Title's land holdings in the Chapel Hill area, see the following post:  </a:t>
          </a:r>
        </a:p>
        <a:p>
          <a:endParaRPr lang="en-US" sz="1100" baseline="0"/>
        </a:p>
        <a:p>
          <a:r>
            <a:rPr lang="en-US" sz="1100"/>
            <a:t>http://www.rationalwalk.com/?p=11736</a:t>
          </a:r>
        </a:p>
        <a:p>
          <a:endParaRPr lang="en-US" sz="1100"/>
        </a:p>
        <a:p>
          <a:r>
            <a:rPr lang="en-US" sz="1100"/>
            <a:t>The image below shows the parcels referenced</a:t>
          </a:r>
          <a:r>
            <a:rPr lang="en-US" sz="1100" baseline="0"/>
            <a:t> in the table using the tax assessor's GIS tool, discussed in more detail in the link above.</a:t>
          </a:r>
          <a:endParaRPr lang="en-US" sz="1100"/>
        </a:p>
        <a:p>
          <a:endParaRPr lang="en-US" sz="1100"/>
        </a:p>
      </xdr:txBody>
    </xdr:sp>
    <xdr:clientData/>
  </xdr:twoCellAnchor>
  <xdr:twoCellAnchor editAs="oneCell">
    <xdr:from>
      <xdr:col>0</xdr:col>
      <xdr:colOff>285750</xdr:colOff>
      <xdr:row>51</xdr:row>
      <xdr:rowOff>104775</xdr:rowOff>
    </xdr:from>
    <xdr:to>
      <xdr:col>5</xdr:col>
      <xdr:colOff>714375</xdr:colOff>
      <xdr:row>82</xdr:row>
      <xdr:rowOff>9525</xdr:rowOff>
    </xdr:to>
    <xdr:pic>
      <xdr:nvPicPr>
        <xdr:cNvPr id="4097" name="Picture 1">
          <a:extLst>
            <a:ext uri="{FF2B5EF4-FFF2-40B4-BE49-F238E27FC236}">
              <a16:creationId xmlns:a16="http://schemas.microsoft.com/office/drawing/2014/main" id="{00000000-0008-0000-0600-000001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4238625"/>
          <a:ext cx="7267575" cy="4629150"/>
        </a:xfrm>
        <a:prstGeom prst="rect">
          <a:avLst/>
        </a:prstGeom>
        <a:noFill/>
        <a:ln w="1">
          <a:noFill/>
          <a:miter lim="800000"/>
          <a:headEnd/>
          <a:tailEnd type="none" w="med" len="med"/>
        </a:ln>
        <a:effectLst/>
      </xdr:spPr>
    </xdr:pic>
    <xdr:clientData/>
  </xdr:twoCellAnchor>
  <xdr:twoCellAnchor>
    <xdr:from>
      <xdr:col>2</xdr:col>
      <xdr:colOff>257175</xdr:colOff>
      <xdr:row>18</xdr:row>
      <xdr:rowOff>133350</xdr:rowOff>
    </xdr:from>
    <xdr:to>
      <xdr:col>6</xdr:col>
      <xdr:colOff>85725</xdr:colOff>
      <xdr:row>42</xdr:row>
      <xdr:rowOff>38099</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4705350" y="2933700"/>
          <a:ext cx="4610100" cy="3600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According</a:t>
          </a:r>
          <a:r>
            <a:rPr lang="en-US" sz="1100" baseline="0"/>
            <a:t> to the 2010 10-K (note 4), net property and equipment was $3,672,317 on 12/31/2011.  </a:t>
          </a:r>
        </a:p>
        <a:p>
          <a:endParaRPr lang="en-US" sz="1100" baseline="0"/>
        </a:p>
        <a:p>
          <a:r>
            <a:rPr lang="en-US" sz="1100" baseline="0"/>
            <a:t>To estimate excess land value not reflected in book value, we start with assessed land value based on the county assessment database and subtract book value of land.  </a:t>
          </a:r>
          <a:r>
            <a:rPr lang="en-US" sz="1100" b="1" baseline="0"/>
            <a:t>This results in $4.2 million of excess land value.</a:t>
          </a:r>
        </a:p>
        <a:p>
          <a:endParaRPr lang="en-US" sz="1100" baseline="0"/>
        </a:p>
        <a:p>
          <a:r>
            <a:rPr lang="en-US" sz="1100" baseline="0"/>
            <a:t>To estimate excess building value not reflected in book value, we start with assessed building/improvement value based on the county assessment database.  We then estimate net building/improvement book value by assuming that depreciation is applied proportionally between the building/improvement, furniture/fixtures, and automobile accounts.  Estimated net building/improvement book value is then subtracted from assessed value to arrive at </a:t>
          </a:r>
          <a:r>
            <a:rPr lang="en-US" sz="1100" b="1" baseline="0"/>
            <a:t>$1.3 million of excess building/improvement value.  </a:t>
          </a:r>
        </a:p>
        <a:p>
          <a:endParaRPr lang="en-US" sz="1100" b="1" baseline="0"/>
        </a:p>
        <a:p>
          <a:r>
            <a:rPr lang="en-US" sz="1100" b="0" baseline="0"/>
            <a:t>Based on this analysis, it appears that Investors Title has approximately $5.5 million of excess real estate value.  Although some of this real estate is  not liquid (such as the company's headquarters and adjacent lots), the amount is material given total shareholders equity of $101.4 million.</a:t>
          </a:r>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1493A-0E31-4441-810E-A8E1353F160A}">
  <dimension ref="A1"/>
  <sheetViews>
    <sheetView tabSelected="1" workbookViewId="0">
      <selection activeCell="H56" sqref="H56"/>
    </sheetView>
  </sheetViews>
  <sheetFormatPr baseColWidth="10" defaultRowHeight="16" x14ac:dyDescent="0.2"/>
  <cols>
    <col min="1" max="16384" width="10.83203125" style="10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1"/>
  <sheetViews>
    <sheetView zoomScale="140" zoomScaleNormal="140" workbookViewId="0">
      <pane ySplit="3" topLeftCell="A4" activePane="bottomLeft" state="frozen"/>
      <selection activeCell="A10" sqref="A10"/>
      <selection pane="bottomLeft" sqref="A1:B1"/>
    </sheetView>
  </sheetViews>
  <sheetFormatPr baseColWidth="10" defaultColWidth="9.1640625" defaultRowHeight="12" x14ac:dyDescent="0.15"/>
  <cols>
    <col min="1" max="1" width="41.33203125" style="1" customWidth="1"/>
    <col min="2" max="12" width="10.33203125" style="1" customWidth="1"/>
    <col min="13" max="13" width="10.33203125" style="5" customWidth="1"/>
    <col min="14" max="23" width="10.33203125" style="1" customWidth="1"/>
    <col min="24" max="16384" width="9.1640625" style="1"/>
  </cols>
  <sheetData>
    <row r="1" spans="1:23" ht="15" x14ac:dyDescent="0.2">
      <c r="A1" s="102" t="s">
        <v>217</v>
      </c>
      <c r="B1" s="102"/>
      <c r="C1" s="67"/>
      <c r="D1" s="67"/>
      <c r="E1" s="67"/>
      <c r="F1" s="67"/>
      <c r="G1" s="67"/>
      <c r="H1" s="67"/>
      <c r="I1" s="67"/>
      <c r="J1" s="67"/>
      <c r="K1" s="67"/>
      <c r="L1" s="67"/>
      <c r="M1" s="42"/>
    </row>
    <row r="2" spans="1:23" x14ac:dyDescent="0.15">
      <c r="A2" s="7" t="s">
        <v>218</v>
      </c>
      <c r="B2" s="7"/>
      <c r="C2" s="7"/>
      <c r="D2" s="7"/>
      <c r="E2" s="7"/>
      <c r="F2" s="7"/>
      <c r="G2" s="7"/>
      <c r="H2" s="7"/>
      <c r="I2" s="7"/>
      <c r="J2" s="7"/>
      <c r="K2" s="7"/>
      <c r="L2" s="7"/>
    </row>
    <row r="3" spans="1:23" x14ac:dyDescent="0.15">
      <c r="A3" s="73"/>
      <c r="B3" s="74">
        <v>44651</v>
      </c>
      <c r="C3" s="57">
        <v>44561</v>
      </c>
      <c r="D3" s="57">
        <v>44196</v>
      </c>
      <c r="E3" s="57">
        <v>43830</v>
      </c>
      <c r="F3" s="57">
        <v>43465</v>
      </c>
      <c r="G3" s="57">
        <v>43100</v>
      </c>
      <c r="H3" s="57">
        <v>42735</v>
      </c>
      <c r="I3" s="57">
        <v>42369</v>
      </c>
      <c r="J3" s="57">
        <v>42004</v>
      </c>
      <c r="K3" s="57">
        <v>41639</v>
      </c>
      <c r="L3" s="57">
        <v>41274</v>
      </c>
      <c r="M3" s="57">
        <v>40908</v>
      </c>
      <c r="N3" s="58">
        <v>40543</v>
      </c>
      <c r="O3" s="58">
        <v>40178</v>
      </c>
      <c r="P3" s="58">
        <v>39813</v>
      </c>
      <c r="Q3" s="58">
        <v>39447</v>
      </c>
      <c r="R3" s="58">
        <v>39082</v>
      </c>
      <c r="S3" s="58">
        <v>38717</v>
      </c>
      <c r="T3" s="58">
        <v>38352</v>
      </c>
      <c r="U3" s="58">
        <v>37986</v>
      </c>
      <c r="V3" s="58">
        <v>37621</v>
      </c>
      <c r="W3" s="58">
        <v>37256</v>
      </c>
    </row>
    <row r="4" spans="1:23" x14ac:dyDescent="0.15">
      <c r="A4" s="2" t="s">
        <v>87</v>
      </c>
      <c r="B4" s="2"/>
      <c r="C4" s="2"/>
      <c r="D4" s="2"/>
      <c r="E4" s="2"/>
      <c r="F4" s="2"/>
      <c r="G4" s="2"/>
      <c r="H4" s="2"/>
      <c r="I4" s="2"/>
      <c r="J4" s="2"/>
      <c r="K4" s="2"/>
      <c r="L4" s="2"/>
      <c r="M4" s="2"/>
      <c r="N4" s="5"/>
      <c r="O4" s="5"/>
      <c r="P4" s="5"/>
      <c r="Q4" s="5"/>
      <c r="R4" s="5"/>
      <c r="S4" s="5"/>
      <c r="T4" s="5"/>
      <c r="U4" s="5"/>
      <c r="V4" s="5"/>
      <c r="W4" s="5"/>
    </row>
    <row r="5" spans="1:23" x14ac:dyDescent="0.15">
      <c r="A5" s="1" t="s">
        <v>88</v>
      </c>
      <c r="N5" s="5"/>
      <c r="O5" s="5"/>
      <c r="P5" s="5"/>
      <c r="Q5" s="5"/>
      <c r="R5" s="5"/>
      <c r="S5" s="5"/>
      <c r="T5" s="5"/>
      <c r="U5" s="5"/>
      <c r="V5" s="5"/>
      <c r="W5" s="5"/>
    </row>
    <row r="6" spans="1:23" x14ac:dyDescent="0.15">
      <c r="A6" s="1" t="s">
        <v>89</v>
      </c>
      <c r="N6" s="5"/>
      <c r="O6" s="5"/>
      <c r="P6" s="5"/>
      <c r="Q6" s="5"/>
      <c r="R6" s="5"/>
      <c r="S6" s="5"/>
      <c r="T6" s="5"/>
      <c r="U6" s="5"/>
      <c r="V6" s="5"/>
      <c r="W6" s="5"/>
    </row>
    <row r="7" spans="1:23" x14ac:dyDescent="0.15">
      <c r="A7" s="1" t="s">
        <v>119</v>
      </c>
      <c r="B7" s="5">
        <v>0</v>
      </c>
      <c r="C7" s="5">
        <v>0</v>
      </c>
      <c r="D7" s="5">
        <v>0</v>
      </c>
      <c r="E7" s="5">
        <v>0</v>
      </c>
      <c r="F7" s="5">
        <v>0</v>
      </c>
      <c r="G7" s="5">
        <v>0</v>
      </c>
      <c r="H7" s="5">
        <v>0</v>
      </c>
      <c r="I7" s="5">
        <v>0</v>
      </c>
      <c r="J7" s="5">
        <v>0</v>
      </c>
      <c r="K7" s="5">
        <v>0</v>
      </c>
      <c r="L7" s="5">
        <v>0</v>
      </c>
      <c r="M7" s="5">
        <v>0</v>
      </c>
      <c r="N7" s="5">
        <v>0</v>
      </c>
      <c r="O7" s="5">
        <v>2000</v>
      </c>
      <c r="P7" s="5">
        <v>451681</v>
      </c>
      <c r="Q7" s="5">
        <v>1052535</v>
      </c>
      <c r="R7" s="5">
        <v>1195617</v>
      </c>
      <c r="S7" s="5">
        <v>1648708</v>
      </c>
      <c r="T7" s="5">
        <v>2202635</v>
      </c>
      <c r="U7" s="5">
        <v>2481353</v>
      </c>
      <c r="V7" s="5">
        <v>4395081</v>
      </c>
      <c r="W7" s="5">
        <v>4907066</v>
      </c>
    </row>
    <row r="8" spans="1:23" x14ac:dyDescent="0.15">
      <c r="A8" s="1" t="s">
        <v>90</v>
      </c>
      <c r="B8" s="5">
        <v>67725000</v>
      </c>
      <c r="C8" s="5">
        <v>79791000</v>
      </c>
      <c r="D8" s="5">
        <v>117713000</v>
      </c>
      <c r="E8" s="5">
        <v>104638000</v>
      </c>
      <c r="F8" s="5">
        <v>88957000</v>
      </c>
      <c r="G8" s="5">
        <v>103341083</v>
      </c>
      <c r="H8" s="5">
        <v>101934077</v>
      </c>
      <c r="I8" s="5">
        <v>106066384</v>
      </c>
      <c r="J8" s="5">
        <v>109048290</v>
      </c>
      <c r="K8" s="5">
        <v>91445413</v>
      </c>
      <c r="L8" s="5">
        <v>81936978</v>
      </c>
      <c r="M8" s="5">
        <v>85407365</v>
      </c>
      <c r="N8" s="5">
        <v>86033557</v>
      </c>
      <c r="O8" s="5">
        <v>88801186</v>
      </c>
      <c r="P8" s="5">
        <v>87708500</v>
      </c>
      <c r="Q8" s="5">
        <v>90530946</v>
      </c>
      <c r="R8" s="5">
        <v>101954292</v>
      </c>
      <c r="S8" s="5">
        <v>75472342</v>
      </c>
      <c r="T8" s="5">
        <v>72471766</v>
      </c>
      <c r="U8" s="5">
        <v>45100520</v>
      </c>
      <c r="V8" s="5">
        <v>52491648</v>
      </c>
      <c r="W8" s="5">
        <v>43066186</v>
      </c>
    </row>
    <row r="9" spans="1:23" x14ac:dyDescent="0.15">
      <c r="A9" s="1" t="s">
        <v>219</v>
      </c>
      <c r="B9" s="5">
        <v>69945000</v>
      </c>
      <c r="C9" s="5">
        <v>76853000</v>
      </c>
      <c r="D9" s="5">
        <v>64919000</v>
      </c>
      <c r="E9" s="5">
        <v>61108000</v>
      </c>
      <c r="F9" s="5">
        <v>48489000</v>
      </c>
      <c r="G9" s="5">
        <v>47366826</v>
      </c>
      <c r="H9" s="5">
        <v>41179259</v>
      </c>
      <c r="I9" s="5">
        <v>37513464</v>
      </c>
      <c r="J9" s="5">
        <v>39254981</v>
      </c>
      <c r="K9" s="5">
        <v>36144065</v>
      </c>
      <c r="L9" s="5">
        <v>28510933</v>
      </c>
      <c r="M9" s="5">
        <v>22549975</v>
      </c>
      <c r="N9" s="5">
        <v>13872370</v>
      </c>
      <c r="O9" s="5">
        <v>11854301</v>
      </c>
      <c r="P9" s="5">
        <v>9965297</v>
      </c>
      <c r="Q9" s="5">
        <v>14431866</v>
      </c>
      <c r="R9" s="5">
        <v>12495923</v>
      </c>
      <c r="S9" s="5">
        <v>9437678</v>
      </c>
      <c r="T9" s="5">
        <v>7240306</v>
      </c>
      <c r="U9" s="5">
        <v>14556785</v>
      </c>
      <c r="V9" s="5">
        <v>7884928</v>
      </c>
      <c r="W9" s="5">
        <v>5433557</v>
      </c>
    </row>
    <row r="10" spans="1:23" x14ac:dyDescent="0.15">
      <c r="A10" s="1" t="s">
        <v>91</v>
      </c>
      <c r="B10" s="5">
        <v>58555000</v>
      </c>
      <c r="C10" s="5">
        <v>45930000</v>
      </c>
      <c r="D10" s="5">
        <v>15170000</v>
      </c>
      <c r="E10" s="5">
        <v>13134000</v>
      </c>
      <c r="F10" s="5">
        <v>32787000</v>
      </c>
      <c r="G10" s="5">
        <v>23779672</v>
      </c>
      <c r="H10" s="5">
        <v>6558840</v>
      </c>
      <c r="I10" s="5">
        <v>6865406</v>
      </c>
      <c r="J10" s="5">
        <v>2576993</v>
      </c>
      <c r="K10" s="5">
        <v>7926373</v>
      </c>
      <c r="L10" s="5">
        <v>13567648</v>
      </c>
      <c r="M10" s="5">
        <v>14112262</v>
      </c>
      <c r="N10" s="5">
        <v>27203550</v>
      </c>
      <c r="O10" s="5">
        <v>20717434</v>
      </c>
      <c r="P10" s="5">
        <v>15725513</v>
      </c>
      <c r="Q10" s="5">
        <v>21222533</v>
      </c>
      <c r="R10" s="5">
        <v>4460911</v>
      </c>
      <c r="S10" s="5">
        <v>7257734</v>
      </c>
      <c r="T10" s="5">
        <v>10134321</v>
      </c>
      <c r="U10" s="5">
        <v>16747964</v>
      </c>
      <c r="V10" s="5">
        <v>0</v>
      </c>
      <c r="W10" s="5">
        <v>0</v>
      </c>
    </row>
    <row r="11" spans="1:23" x14ac:dyDescent="0.15">
      <c r="A11" s="1" t="s">
        <v>92</v>
      </c>
      <c r="B11" s="5">
        <v>20217000</v>
      </c>
      <c r="C11" s="5">
        <v>20298000</v>
      </c>
      <c r="D11" s="5">
        <v>15493000</v>
      </c>
      <c r="E11" s="5">
        <v>13982000</v>
      </c>
      <c r="F11" s="5">
        <v>12436000</v>
      </c>
      <c r="G11" s="5">
        <v>12032426</v>
      </c>
      <c r="H11" s="5">
        <v>11181531</v>
      </c>
      <c r="I11" s="5">
        <v>10106828</v>
      </c>
      <c r="J11" s="5">
        <v>8530929</v>
      </c>
      <c r="K11" s="5">
        <v>7247831</v>
      </c>
      <c r="L11" s="5">
        <v>6763100</v>
      </c>
      <c r="M11" s="5">
        <v>3631714</v>
      </c>
      <c r="N11" s="5">
        <v>2888958</v>
      </c>
      <c r="O11" s="5">
        <v>2307220</v>
      </c>
      <c r="P11" s="5">
        <v>2040962</v>
      </c>
      <c r="Q11" s="5">
        <v>1788501</v>
      </c>
      <c r="R11" s="5">
        <v>1473303</v>
      </c>
      <c r="S11" s="5">
        <v>1336111</v>
      </c>
      <c r="T11" s="5">
        <v>1211517</v>
      </c>
      <c r="U11" s="5">
        <v>955561</v>
      </c>
      <c r="V11" s="5">
        <v>564782</v>
      </c>
      <c r="W11" s="5">
        <v>64888</v>
      </c>
    </row>
    <row r="12" spans="1:23" x14ac:dyDescent="0.15">
      <c r="A12" s="1" t="s">
        <v>93</v>
      </c>
      <c r="B12" s="14">
        <f t="shared" ref="B12" si="0">SUM(B7:B11)</f>
        <v>216442000</v>
      </c>
      <c r="C12" s="14">
        <f t="shared" ref="C12:J12" si="1">SUM(C7:C11)</f>
        <v>222872000</v>
      </c>
      <c r="D12" s="14">
        <f t="shared" si="1"/>
        <v>213295000</v>
      </c>
      <c r="E12" s="14">
        <f t="shared" si="1"/>
        <v>192862000</v>
      </c>
      <c r="F12" s="14">
        <f t="shared" si="1"/>
        <v>182669000</v>
      </c>
      <c r="G12" s="14">
        <f t="shared" si="1"/>
        <v>186520007</v>
      </c>
      <c r="H12" s="14">
        <f t="shared" si="1"/>
        <v>160853707</v>
      </c>
      <c r="I12" s="14">
        <f t="shared" si="1"/>
        <v>160552082</v>
      </c>
      <c r="J12" s="14">
        <f t="shared" si="1"/>
        <v>159411193</v>
      </c>
      <c r="K12" s="14">
        <f t="shared" ref="K12:M12" si="2">SUM(K7:K11)</f>
        <v>142763682</v>
      </c>
      <c r="L12" s="14">
        <f t="shared" si="2"/>
        <v>130778659</v>
      </c>
      <c r="M12" s="14">
        <f t="shared" si="2"/>
        <v>125701316</v>
      </c>
      <c r="N12" s="14">
        <f t="shared" ref="N12:W12" si="3">SUM(N7:N11)</f>
        <v>129998435</v>
      </c>
      <c r="O12" s="14">
        <f t="shared" si="3"/>
        <v>123682141</v>
      </c>
      <c r="P12" s="14">
        <f t="shared" si="3"/>
        <v>115891953</v>
      </c>
      <c r="Q12" s="14">
        <f t="shared" si="3"/>
        <v>129026381</v>
      </c>
      <c r="R12" s="14">
        <f t="shared" si="3"/>
        <v>121580046</v>
      </c>
      <c r="S12" s="14">
        <f t="shared" si="3"/>
        <v>95152573</v>
      </c>
      <c r="T12" s="14">
        <f t="shared" si="3"/>
        <v>93260545</v>
      </c>
      <c r="U12" s="14">
        <f t="shared" si="3"/>
        <v>79842183</v>
      </c>
      <c r="V12" s="14">
        <f t="shared" si="3"/>
        <v>65336439</v>
      </c>
      <c r="W12" s="14">
        <f t="shared" si="3"/>
        <v>53471697</v>
      </c>
    </row>
    <row r="13" spans="1:23" x14ac:dyDescent="0.15">
      <c r="A13" s="1" t="s">
        <v>94</v>
      </c>
      <c r="B13" s="5">
        <v>37310000</v>
      </c>
      <c r="C13" s="5">
        <v>37168000</v>
      </c>
      <c r="D13" s="5">
        <v>13723000</v>
      </c>
      <c r="E13" s="5">
        <v>25949000</v>
      </c>
      <c r="F13" s="5">
        <v>18694000</v>
      </c>
      <c r="G13" s="5">
        <v>20214468</v>
      </c>
      <c r="H13" s="5">
        <v>27928472</v>
      </c>
      <c r="I13" s="5">
        <v>21790068</v>
      </c>
      <c r="J13" s="5">
        <v>15826515</v>
      </c>
      <c r="K13" s="5">
        <v>23626761</v>
      </c>
      <c r="L13" s="5">
        <v>20810018</v>
      </c>
      <c r="M13" s="5">
        <v>18042258</v>
      </c>
      <c r="N13" s="5">
        <v>8117031</v>
      </c>
      <c r="O13" s="5">
        <v>8733221</v>
      </c>
      <c r="P13" s="5">
        <v>5155046</v>
      </c>
      <c r="Q13" s="5">
        <v>3000762</v>
      </c>
      <c r="R13" s="5">
        <v>3458432</v>
      </c>
      <c r="S13" s="5">
        <v>14608481</v>
      </c>
      <c r="T13" s="5">
        <v>4726443</v>
      </c>
      <c r="U13" s="5">
        <v>5125356</v>
      </c>
      <c r="V13" s="5">
        <v>3781961</v>
      </c>
      <c r="W13" s="5">
        <v>3069929</v>
      </c>
    </row>
    <row r="14" spans="1:23" x14ac:dyDescent="0.15">
      <c r="A14" s="1" t="s">
        <v>95</v>
      </c>
      <c r="B14" s="5">
        <v>23850000</v>
      </c>
      <c r="C14" s="5">
        <v>22953000</v>
      </c>
      <c r="D14" s="5">
        <v>19427000</v>
      </c>
      <c r="E14" s="5">
        <v>12523000</v>
      </c>
      <c r="F14" s="5">
        <v>12128000</v>
      </c>
      <c r="G14" s="5">
        <v>10159519</v>
      </c>
      <c r="H14" s="5">
        <v>8654161</v>
      </c>
      <c r="I14" s="5">
        <v>8392697</v>
      </c>
      <c r="J14" s="5">
        <v>8544183</v>
      </c>
      <c r="K14" s="5">
        <v>8750224</v>
      </c>
      <c r="L14" s="5">
        <v>11037714</v>
      </c>
      <c r="M14" s="5">
        <v>6810000</v>
      </c>
      <c r="N14" s="5">
        <v>7253786</v>
      </c>
      <c r="O14" s="5">
        <v>5170476</v>
      </c>
      <c r="P14" s="5">
        <v>4933797</v>
      </c>
      <c r="Q14" s="5">
        <v>6900968</v>
      </c>
      <c r="R14" s="5">
        <v>6693706</v>
      </c>
      <c r="S14" s="5">
        <v>7818558</v>
      </c>
      <c r="T14" s="5">
        <v>6679994</v>
      </c>
      <c r="U14" s="5">
        <v>8031803</v>
      </c>
      <c r="V14" s="5">
        <v>7949904</v>
      </c>
      <c r="W14" s="5">
        <v>7104580</v>
      </c>
    </row>
    <row r="15" spans="1:23" x14ac:dyDescent="0.15">
      <c r="A15" s="1" t="s">
        <v>96</v>
      </c>
      <c r="B15" s="5">
        <v>1000000</v>
      </c>
      <c r="C15" s="5">
        <v>817000</v>
      </c>
      <c r="D15" s="5">
        <v>1038000</v>
      </c>
      <c r="E15" s="5">
        <v>1033000</v>
      </c>
      <c r="F15" s="5">
        <v>946000</v>
      </c>
      <c r="G15" s="5">
        <v>1099879</v>
      </c>
      <c r="H15" s="5">
        <v>1035152</v>
      </c>
      <c r="I15" s="5">
        <v>1004126</v>
      </c>
      <c r="J15" s="5">
        <v>1063837</v>
      </c>
      <c r="K15" s="5">
        <v>1006698</v>
      </c>
      <c r="L15" s="5">
        <v>1037447</v>
      </c>
      <c r="M15" s="5">
        <v>1108156</v>
      </c>
      <c r="N15" s="5">
        <v>1150602</v>
      </c>
      <c r="O15" s="5">
        <v>1122806</v>
      </c>
      <c r="P15" s="5">
        <v>1225070</v>
      </c>
      <c r="Q15" s="5">
        <v>1254641</v>
      </c>
      <c r="R15" s="5">
        <v>1336790</v>
      </c>
      <c r="S15" s="5">
        <v>1010198</v>
      </c>
      <c r="T15" s="5">
        <v>753638</v>
      </c>
      <c r="U15" s="5">
        <v>667147</v>
      </c>
      <c r="V15" s="5">
        <v>720902</v>
      </c>
      <c r="W15" s="5">
        <v>725757</v>
      </c>
    </row>
    <row r="16" spans="1:23" x14ac:dyDescent="0.15">
      <c r="A16" s="1" t="s">
        <v>97</v>
      </c>
      <c r="B16" s="5">
        <v>11618000</v>
      </c>
      <c r="C16" s="5">
        <v>11721000</v>
      </c>
      <c r="D16" s="5">
        <v>9418000</v>
      </c>
      <c r="E16" s="5">
        <v>5519000</v>
      </c>
      <c r="F16" s="5">
        <v>7288000</v>
      </c>
      <c r="G16" s="5">
        <v>9003683</v>
      </c>
      <c r="H16" s="5">
        <v>9456523</v>
      </c>
      <c r="I16" s="5">
        <v>11413520</v>
      </c>
      <c r="J16" s="5">
        <v>7732677</v>
      </c>
      <c r="K16" s="5">
        <v>7466141</v>
      </c>
      <c r="L16" s="5">
        <v>4651115</v>
      </c>
      <c r="M16" s="5">
        <v>2743517</v>
      </c>
      <c r="N16" s="5">
        <v>2688723</v>
      </c>
      <c r="O16" s="5">
        <v>1815653</v>
      </c>
      <c r="P16" s="5">
        <v>1215146</v>
      </c>
      <c r="Q16" s="5">
        <v>1276806</v>
      </c>
      <c r="R16" s="5">
        <v>1479366</v>
      </c>
      <c r="S16" s="5">
        <v>1592326</v>
      </c>
      <c r="T16" s="5">
        <v>1410584</v>
      </c>
      <c r="U16" s="5">
        <v>934345</v>
      </c>
      <c r="V16" s="5">
        <v>1095230</v>
      </c>
      <c r="W16" s="5">
        <v>765348</v>
      </c>
    </row>
    <row r="17" spans="1:23" x14ac:dyDescent="0.15">
      <c r="A17" s="1" t="s">
        <v>98</v>
      </c>
      <c r="B17" s="5">
        <v>0</v>
      </c>
      <c r="C17" s="5">
        <v>0</v>
      </c>
      <c r="D17" s="5">
        <v>0</v>
      </c>
      <c r="E17" s="5">
        <v>0</v>
      </c>
      <c r="F17" s="5">
        <v>0</v>
      </c>
      <c r="G17" s="5">
        <v>0</v>
      </c>
      <c r="H17" s="5">
        <v>0</v>
      </c>
      <c r="I17" s="5">
        <v>0</v>
      </c>
      <c r="J17" s="5">
        <v>0</v>
      </c>
      <c r="K17" s="5">
        <v>0</v>
      </c>
      <c r="L17" s="5">
        <v>0</v>
      </c>
      <c r="M17" s="5">
        <v>0</v>
      </c>
      <c r="N17" s="5">
        <v>127938</v>
      </c>
      <c r="O17" s="5">
        <v>175476</v>
      </c>
      <c r="P17" s="5">
        <v>395734</v>
      </c>
      <c r="Q17" s="5">
        <v>278476</v>
      </c>
      <c r="R17" s="5">
        <v>303538</v>
      </c>
      <c r="S17" s="5">
        <v>359980</v>
      </c>
      <c r="T17" s="5">
        <v>322517</v>
      </c>
      <c r="U17" s="5">
        <v>286517</v>
      </c>
      <c r="V17" s="5">
        <v>749562</v>
      </c>
      <c r="W17" s="5">
        <v>294510</v>
      </c>
    </row>
    <row r="18" spans="1:23" x14ac:dyDescent="0.15">
      <c r="A18" s="1" t="s">
        <v>99</v>
      </c>
      <c r="B18" s="5">
        <v>13413000</v>
      </c>
      <c r="C18" s="5">
        <v>13033000</v>
      </c>
      <c r="D18" s="5">
        <v>11160000</v>
      </c>
      <c r="E18" s="5">
        <v>9776000</v>
      </c>
      <c r="F18" s="5">
        <v>10304000</v>
      </c>
      <c r="G18" s="5">
        <v>10172904</v>
      </c>
      <c r="H18" s="5">
        <v>8753466</v>
      </c>
      <c r="I18" s="5">
        <v>7148951</v>
      </c>
      <c r="J18" s="5">
        <v>5460805</v>
      </c>
      <c r="K18" s="5">
        <v>4325538</v>
      </c>
      <c r="L18" s="5">
        <v>3603323</v>
      </c>
      <c r="M18" s="5">
        <v>3553216</v>
      </c>
      <c r="N18" s="5">
        <v>3672317</v>
      </c>
      <c r="O18" s="5">
        <v>3894724</v>
      </c>
      <c r="P18" s="5">
        <v>4422318</v>
      </c>
      <c r="Q18" s="5">
        <v>5278891</v>
      </c>
      <c r="R18" s="5">
        <v>6134304</v>
      </c>
      <c r="S18" s="5">
        <v>5466765</v>
      </c>
      <c r="T18" s="5">
        <v>4592784</v>
      </c>
      <c r="U18" s="5">
        <v>4099243</v>
      </c>
      <c r="V18" s="5">
        <v>4109885</v>
      </c>
      <c r="W18" s="5">
        <v>4433855</v>
      </c>
    </row>
    <row r="19" spans="1:23" x14ac:dyDescent="0.15">
      <c r="A19" s="1" t="s">
        <v>223</v>
      </c>
      <c r="B19" s="5">
        <v>15621000</v>
      </c>
      <c r="C19" s="5">
        <v>15951000</v>
      </c>
      <c r="D19" s="5">
        <v>9771000</v>
      </c>
      <c r="E19" s="5">
        <v>10275000</v>
      </c>
      <c r="F19" s="5">
        <v>10780000</v>
      </c>
      <c r="G19" s="5">
        <v>11357290</v>
      </c>
      <c r="H19" s="5">
        <v>12256641</v>
      </c>
      <c r="I19" s="5">
        <v>1220585</v>
      </c>
      <c r="J19" s="5">
        <v>0</v>
      </c>
      <c r="K19" s="5">
        <v>0</v>
      </c>
      <c r="L19" s="5">
        <v>0</v>
      </c>
      <c r="M19" s="5">
        <v>0</v>
      </c>
      <c r="N19" s="5">
        <v>0</v>
      </c>
      <c r="O19" s="5">
        <v>0</v>
      </c>
      <c r="P19" s="5">
        <v>0</v>
      </c>
      <c r="Q19" s="5">
        <v>0</v>
      </c>
      <c r="R19" s="5">
        <v>0</v>
      </c>
      <c r="S19" s="5">
        <v>0</v>
      </c>
      <c r="T19" s="5">
        <v>0</v>
      </c>
      <c r="U19" s="5">
        <v>0</v>
      </c>
      <c r="V19" s="5">
        <v>0</v>
      </c>
      <c r="W19" s="5">
        <v>0</v>
      </c>
    </row>
    <row r="20" spans="1:23" x14ac:dyDescent="0.15">
      <c r="A20" s="1" t="s">
        <v>227</v>
      </c>
      <c r="B20" s="5">
        <v>7321000</v>
      </c>
      <c r="C20" s="5">
        <v>5202000</v>
      </c>
      <c r="D20" s="5">
        <v>3533000</v>
      </c>
      <c r="E20" s="5">
        <v>4469000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row>
    <row r="21" spans="1:23" x14ac:dyDescent="0.15">
      <c r="A21" s="1" t="s">
        <v>226</v>
      </c>
      <c r="B21" s="5">
        <v>1822000</v>
      </c>
      <c r="C21" s="5">
        <v>1771000</v>
      </c>
      <c r="D21" s="5">
        <v>1560000</v>
      </c>
      <c r="E21" s="5">
        <v>1487000</v>
      </c>
      <c r="F21" s="5">
        <v>1459000</v>
      </c>
      <c r="G21" s="5">
        <v>0</v>
      </c>
      <c r="H21" s="5">
        <v>0</v>
      </c>
      <c r="I21" s="5">
        <v>0</v>
      </c>
      <c r="J21" s="5">
        <v>0</v>
      </c>
      <c r="K21" s="5">
        <v>0</v>
      </c>
      <c r="L21" s="5">
        <v>0</v>
      </c>
      <c r="M21" s="5">
        <v>0</v>
      </c>
      <c r="N21" s="5">
        <v>0</v>
      </c>
      <c r="O21" s="5">
        <v>0</v>
      </c>
      <c r="P21" s="5">
        <v>0</v>
      </c>
      <c r="Q21" s="5">
        <v>0</v>
      </c>
      <c r="R21" s="5">
        <v>0</v>
      </c>
      <c r="S21" s="5">
        <v>0</v>
      </c>
      <c r="T21" s="5">
        <v>0</v>
      </c>
      <c r="U21" s="5">
        <v>0</v>
      </c>
      <c r="V21" s="5">
        <v>0</v>
      </c>
      <c r="W21" s="5">
        <v>0</v>
      </c>
    </row>
    <row r="22" spans="1:23" x14ac:dyDescent="0.15">
      <c r="A22" s="1" t="s">
        <v>100</v>
      </c>
      <c r="B22" s="5">
        <v>0</v>
      </c>
      <c r="C22" s="5"/>
      <c r="D22" s="5">
        <v>0</v>
      </c>
      <c r="E22" s="5">
        <v>0</v>
      </c>
      <c r="F22" s="5">
        <v>0</v>
      </c>
      <c r="G22" s="5">
        <v>385109</v>
      </c>
      <c r="H22" s="5">
        <v>0</v>
      </c>
      <c r="I22" s="5">
        <v>0</v>
      </c>
      <c r="J22" s="5">
        <v>0</v>
      </c>
      <c r="K22" s="5">
        <v>366772</v>
      </c>
      <c r="L22" s="5">
        <v>0</v>
      </c>
      <c r="M22" s="5">
        <v>0</v>
      </c>
      <c r="N22" s="5">
        <v>0</v>
      </c>
      <c r="O22" s="5">
        <v>0</v>
      </c>
      <c r="P22" s="5">
        <v>2777829</v>
      </c>
      <c r="Q22" s="5">
        <v>0</v>
      </c>
      <c r="R22" s="5">
        <v>0</v>
      </c>
      <c r="S22" s="5">
        <v>0</v>
      </c>
      <c r="T22" s="5">
        <v>0</v>
      </c>
      <c r="U22" s="5">
        <v>0</v>
      </c>
      <c r="V22" s="5">
        <v>0</v>
      </c>
      <c r="W22" s="5">
        <v>0</v>
      </c>
    </row>
    <row r="23" spans="1:23" x14ac:dyDescent="0.15">
      <c r="A23" s="1" t="s">
        <v>101</v>
      </c>
      <c r="B23" s="5">
        <v>0</v>
      </c>
      <c r="C23" s="5">
        <v>0</v>
      </c>
      <c r="D23" s="5">
        <v>0</v>
      </c>
      <c r="E23" s="5">
        <v>0</v>
      </c>
      <c r="F23" s="5">
        <v>0</v>
      </c>
      <c r="G23" s="5">
        <v>0</v>
      </c>
      <c r="H23" s="5">
        <v>0</v>
      </c>
      <c r="I23" s="5">
        <v>0</v>
      </c>
      <c r="J23" s="5">
        <v>0</v>
      </c>
      <c r="K23" s="5">
        <v>0</v>
      </c>
      <c r="L23" s="5">
        <v>0</v>
      </c>
      <c r="M23" s="5">
        <v>0</v>
      </c>
      <c r="N23" s="5">
        <v>476534</v>
      </c>
      <c r="O23" s="5">
        <v>1833207</v>
      </c>
      <c r="P23" s="5">
        <v>3841295</v>
      </c>
      <c r="Q23" s="5">
        <v>2625495</v>
      </c>
      <c r="R23" s="5">
        <v>2530196</v>
      </c>
      <c r="S23" s="5">
        <v>2462647</v>
      </c>
      <c r="T23" s="5">
        <v>1440247</v>
      </c>
      <c r="U23" s="5">
        <v>1485217</v>
      </c>
      <c r="V23" s="5">
        <v>893263</v>
      </c>
      <c r="W23" s="5">
        <v>354024</v>
      </c>
    </row>
    <row r="24" spans="1:23" ht="13" thickBot="1" x14ac:dyDescent="0.2">
      <c r="A24" s="2" t="s">
        <v>102</v>
      </c>
      <c r="B24" s="35">
        <f t="shared" ref="B24:J24" si="4">SUM(B12:B23)</f>
        <v>328397000</v>
      </c>
      <c r="C24" s="35">
        <f t="shared" si="4"/>
        <v>331488000</v>
      </c>
      <c r="D24" s="35">
        <f t="shared" si="4"/>
        <v>282925000</v>
      </c>
      <c r="E24" s="35">
        <f t="shared" si="4"/>
        <v>263893000</v>
      </c>
      <c r="F24" s="35">
        <f t="shared" si="4"/>
        <v>244268000</v>
      </c>
      <c r="G24" s="35">
        <f t="shared" si="4"/>
        <v>248912859</v>
      </c>
      <c r="H24" s="35">
        <f t="shared" si="4"/>
        <v>228938122</v>
      </c>
      <c r="I24" s="35">
        <f t="shared" si="4"/>
        <v>211522029</v>
      </c>
      <c r="J24" s="35">
        <f t="shared" si="4"/>
        <v>198039210</v>
      </c>
      <c r="K24" s="35">
        <f t="shared" ref="K24:M24" si="5">SUM(K12:K23)</f>
        <v>188305816</v>
      </c>
      <c r="L24" s="35">
        <f t="shared" si="5"/>
        <v>171918276</v>
      </c>
      <c r="M24" s="35">
        <f t="shared" si="5"/>
        <v>157958463</v>
      </c>
      <c r="N24" s="35">
        <f t="shared" ref="N24:W24" si="6">SUM(N12:N23)</f>
        <v>153485366</v>
      </c>
      <c r="O24" s="35">
        <f t="shared" si="6"/>
        <v>146427704</v>
      </c>
      <c r="P24" s="35">
        <f t="shared" si="6"/>
        <v>139858188</v>
      </c>
      <c r="Q24" s="35">
        <f t="shared" si="6"/>
        <v>149642420</v>
      </c>
      <c r="R24" s="35">
        <f t="shared" si="6"/>
        <v>143516378</v>
      </c>
      <c r="S24" s="35">
        <f t="shared" si="6"/>
        <v>128471528</v>
      </c>
      <c r="T24" s="35">
        <f t="shared" si="6"/>
        <v>113186752</v>
      </c>
      <c r="U24" s="35">
        <f t="shared" si="6"/>
        <v>100471811</v>
      </c>
      <c r="V24" s="35">
        <f t="shared" si="6"/>
        <v>84637146</v>
      </c>
      <c r="W24" s="35">
        <f t="shared" si="6"/>
        <v>70219700</v>
      </c>
    </row>
    <row r="25" spans="1:23" ht="13" thickTop="1" x14ac:dyDescent="0.15">
      <c r="A25" s="36" t="s">
        <v>103</v>
      </c>
      <c r="B25" s="36"/>
      <c r="C25" s="36"/>
      <c r="D25" s="36"/>
      <c r="E25" s="36"/>
      <c r="F25" s="36"/>
      <c r="G25" s="36"/>
      <c r="H25" s="36"/>
      <c r="I25" s="36"/>
      <c r="J25" s="36"/>
      <c r="K25" s="36"/>
      <c r="L25" s="36"/>
      <c r="M25" s="44"/>
      <c r="N25" s="24"/>
      <c r="O25" s="24"/>
      <c r="P25" s="24"/>
      <c r="Q25" s="24"/>
      <c r="R25" s="24"/>
      <c r="S25" s="24"/>
      <c r="T25" s="24"/>
      <c r="U25" s="24"/>
      <c r="V25" s="24"/>
      <c r="W25" s="24"/>
    </row>
    <row r="26" spans="1:23" x14ac:dyDescent="0.15">
      <c r="A26" s="2" t="s">
        <v>104</v>
      </c>
      <c r="B26" s="2"/>
      <c r="C26" s="2"/>
      <c r="D26" s="2"/>
      <c r="E26" s="2"/>
      <c r="F26" s="2"/>
      <c r="G26" s="2"/>
      <c r="H26" s="2"/>
      <c r="I26" s="2"/>
      <c r="J26" s="2"/>
      <c r="K26" s="2"/>
      <c r="L26" s="2"/>
      <c r="M26" s="45"/>
      <c r="N26" s="24"/>
      <c r="O26" s="24"/>
      <c r="P26" s="24"/>
      <c r="Q26" s="24"/>
      <c r="R26" s="24"/>
      <c r="S26" s="24"/>
      <c r="T26" s="24"/>
      <c r="U26" s="24"/>
      <c r="V26" s="24"/>
      <c r="W26" s="24"/>
    </row>
    <row r="27" spans="1:23" x14ac:dyDescent="0.15">
      <c r="A27" s="1" t="s">
        <v>105</v>
      </c>
      <c r="M27" s="24"/>
      <c r="N27" s="24"/>
      <c r="O27" s="24"/>
      <c r="P27" s="24"/>
      <c r="Q27" s="24"/>
      <c r="R27" s="24"/>
      <c r="S27" s="24"/>
      <c r="T27" s="24"/>
      <c r="U27" s="24"/>
      <c r="V27" s="24"/>
      <c r="W27" s="24"/>
    </row>
    <row r="28" spans="1:23" x14ac:dyDescent="0.15">
      <c r="A28" s="1" t="s">
        <v>106</v>
      </c>
      <c r="B28" s="24">
        <v>36366000</v>
      </c>
      <c r="C28" s="24">
        <v>36754000</v>
      </c>
      <c r="D28" s="24">
        <v>33584000</v>
      </c>
      <c r="E28" s="24">
        <v>31333000</v>
      </c>
      <c r="F28" s="24">
        <v>31729000</v>
      </c>
      <c r="G28" s="24">
        <v>34801000</v>
      </c>
      <c r="H28" s="24">
        <v>35305000</v>
      </c>
      <c r="I28" s="24">
        <v>37788000</v>
      </c>
      <c r="J28" s="24">
        <v>36677000</v>
      </c>
      <c r="K28" s="24">
        <v>35360000</v>
      </c>
      <c r="L28" s="24">
        <v>39078000</v>
      </c>
      <c r="M28" s="24">
        <v>37996000</v>
      </c>
      <c r="N28" s="24">
        <v>38198700</v>
      </c>
      <c r="O28" s="24">
        <v>39490000</v>
      </c>
      <c r="P28" s="24">
        <v>39238000</v>
      </c>
      <c r="Q28" s="24">
        <v>36975000</v>
      </c>
      <c r="R28" s="24">
        <v>36906000</v>
      </c>
      <c r="S28" s="24">
        <v>34857000</v>
      </c>
      <c r="T28" s="24">
        <v>31842000</v>
      </c>
      <c r="U28" s="24">
        <v>30031000</v>
      </c>
      <c r="V28" s="24">
        <v>25630000</v>
      </c>
      <c r="W28" s="24">
        <v>21460000</v>
      </c>
    </row>
    <row r="29" spans="1:23" x14ac:dyDescent="0.15">
      <c r="A29" s="1" t="s">
        <v>107</v>
      </c>
      <c r="B29" s="24">
        <v>34486000</v>
      </c>
      <c r="C29" s="24">
        <v>43868000</v>
      </c>
      <c r="D29" s="24">
        <v>36020000</v>
      </c>
      <c r="E29" s="24">
        <v>28318000</v>
      </c>
      <c r="F29" s="24">
        <v>27735000</v>
      </c>
      <c r="G29" s="24">
        <v>27565660</v>
      </c>
      <c r="H29" s="24">
        <v>26146480</v>
      </c>
      <c r="I29" s="24">
        <v>25043588</v>
      </c>
      <c r="J29" s="24">
        <v>18290819</v>
      </c>
      <c r="K29" s="24">
        <v>20324190</v>
      </c>
      <c r="L29" s="24">
        <v>15477545</v>
      </c>
      <c r="M29" s="24">
        <v>12330383</v>
      </c>
      <c r="N29" s="24">
        <v>10301495</v>
      </c>
      <c r="O29" s="24">
        <v>8688712</v>
      </c>
      <c r="P29" s="24">
        <v>10294912</v>
      </c>
      <c r="Q29" s="24">
        <v>11236781</v>
      </c>
      <c r="R29" s="24">
        <v>10537992</v>
      </c>
      <c r="S29" s="24">
        <v>7928384</v>
      </c>
      <c r="T29" s="24">
        <v>7919651</v>
      </c>
      <c r="U29" s="24">
        <v>6243906</v>
      </c>
      <c r="V29" s="24">
        <v>4780865</v>
      </c>
      <c r="W29" s="24">
        <v>3700095</v>
      </c>
    </row>
    <row r="30" spans="1:23" x14ac:dyDescent="0.15">
      <c r="A30" s="1" t="s">
        <v>120</v>
      </c>
      <c r="B30" s="101" t="s">
        <v>215</v>
      </c>
      <c r="C30" s="101"/>
      <c r="D30" s="101"/>
      <c r="E30" s="101"/>
      <c r="F30" s="101"/>
      <c r="G30" s="101"/>
      <c r="H30" s="101"/>
      <c r="I30" s="101"/>
      <c r="J30" s="101"/>
      <c r="K30" s="101"/>
      <c r="L30" s="101"/>
      <c r="M30" s="101"/>
      <c r="N30" s="101"/>
      <c r="O30" s="24">
        <v>319625</v>
      </c>
      <c r="P30" s="24">
        <v>467388</v>
      </c>
      <c r="Q30" s="24">
        <v>406922</v>
      </c>
      <c r="R30" s="24">
        <v>470468</v>
      </c>
      <c r="S30" s="24">
        <v>442098</v>
      </c>
      <c r="T30" s="24">
        <v>551662</v>
      </c>
      <c r="U30" s="24">
        <v>726191</v>
      </c>
      <c r="V30" s="24">
        <v>401040</v>
      </c>
      <c r="W30" s="24">
        <v>281961</v>
      </c>
    </row>
    <row r="31" spans="1:23" x14ac:dyDescent="0.15">
      <c r="A31" s="1" t="s">
        <v>121</v>
      </c>
      <c r="B31" s="24">
        <v>0</v>
      </c>
      <c r="C31" s="24">
        <v>0</v>
      </c>
      <c r="D31" s="24">
        <v>0</v>
      </c>
      <c r="E31" s="24">
        <v>0</v>
      </c>
      <c r="F31" s="24">
        <v>0</v>
      </c>
      <c r="G31" s="24">
        <v>0</v>
      </c>
      <c r="H31" s="24">
        <v>0</v>
      </c>
      <c r="I31" s="24">
        <v>0</v>
      </c>
      <c r="J31" s="24">
        <v>0</v>
      </c>
      <c r="K31" s="24">
        <v>0</v>
      </c>
      <c r="L31" s="24">
        <v>0</v>
      </c>
      <c r="M31" s="24">
        <v>0</v>
      </c>
      <c r="N31" s="15">
        <v>0</v>
      </c>
      <c r="O31" s="24">
        <v>0</v>
      </c>
      <c r="P31" s="24">
        <v>0</v>
      </c>
      <c r="Q31" s="24">
        <v>0</v>
      </c>
      <c r="R31" s="24">
        <v>0</v>
      </c>
      <c r="S31" s="24">
        <v>0</v>
      </c>
      <c r="T31" s="24">
        <v>0</v>
      </c>
      <c r="U31" s="24">
        <v>0</v>
      </c>
      <c r="V31" s="24">
        <v>268972</v>
      </c>
      <c r="W31" s="24">
        <v>367055</v>
      </c>
    </row>
    <row r="32" spans="1:23" x14ac:dyDescent="0.15">
      <c r="A32" s="1" t="s">
        <v>228</v>
      </c>
      <c r="B32" s="24">
        <v>7453000</v>
      </c>
      <c r="C32" s="24">
        <v>5329000</v>
      </c>
      <c r="D32" s="24">
        <v>3669000</v>
      </c>
      <c r="E32" s="24">
        <v>4502000</v>
      </c>
      <c r="F32" s="24">
        <v>0</v>
      </c>
      <c r="G32" s="24">
        <v>0</v>
      </c>
      <c r="H32" s="24">
        <v>0</v>
      </c>
      <c r="I32" s="24">
        <v>0</v>
      </c>
      <c r="J32" s="24">
        <v>0</v>
      </c>
      <c r="K32" s="24">
        <v>0</v>
      </c>
      <c r="L32" s="24">
        <v>0</v>
      </c>
      <c r="M32" s="24">
        <v>0</v>
      </c>
      <c r="N32" s="24">
        <v>0</v>
      </c>
      <c r="O32" s="24">
        <v>0</v>
      </c>
      <c r="P32" s="24">
        <v>0</v>
      </c>
      <c r="Q32" s="24">
        <v>0</v>
      </c>
      <c r="R32" s="24">
        <v>0</v>
      </c>
      <c r="S32" s="24">
        <v>0</v>
      </c>
      <c r="T32" s="24">
        <v>0</v>
      </c>
      <c r="U32" s="24">
        <v>0</v>
      </c>
      <c r="V32" s="24">
        <v>0</v>
      </c>
      <c r="W32" s="24">
        <v>0</v>
      </c>
    </row>
    <row r="33" spans="1:23" x14ac:dyDescent="0.15">
      <c r="A33" s="1" t="s">
        <v>108</v>
      </c>
      <c r="B33" s="24">
        <v>6164000</v>
      </c>
      <c r="C33" s="24">
        <v>3329000</v>
      </c>
      <c r="D33" s="24">
        <v>638000</v>
      </c>
      <c r="E33" s="24">
        <v>1340000</v>
      </c>
      <c r="F33" s="24">
        <v>4981000</v>
      </c>
      <c r="G33" s="24">
        <v>0</v>
      </c>
      <c r="H33" s="24">
        <v>1232432</v>
      </c>
      <c r="I33" s="24">
        <v>210355</v>
      </c>
      <c r="J33" s="24">
        <v>92192</v>
      </c>
      <c r="K33" s="24">
        <v>0</v>
      </c>
      <c r="L33" s="24">
        <v>1336824</v>
      </c>
      <c r="M33" s="24">
        <v>640533</v>
      </c>
      <c r="N33" s="24">
        <v>1056356</v>
      </c>
      <c r="O33" s="24">
        <v>670290</v>
      </c>
      <c r="P33" s="24">
        <v>0</v>
      </c>
      <c r="Q33" s="24">
        <v>1747877</v>
      </c>
      <c r="R33" s="24">
        <v>326255</v>
      </c>
      <c r="S33" s="24">
        <v>946790</v>
      </c>
      <c r="T33" s="24">
        <v>366168</v>
      </c>
      <c r="U33" s="24">
        <v>281968</v>
      </c>
      <c r="V33" s="24">
        <v>888085</v>
      </c>
      <c r="W33" s="24">
        <v>138821</v>
      </c>
    </row>
    <row r="34" spans="1:23" x14ac:dyDescent="0.15">
      <c r="A34" s="1" t="s">
        <v>109</v>
      </c>
      <c r="B34" s="24">
        <v>11436000</v>
      </c>
      <c r="C34" s="24">
        <v>13121000</v>
      </c>
      <c r="D34" s="24">
        <v>8592000</v>
      </c>
      <c r="E34" s="24">
        <v>7038000</v>
      </c>
      <c r="F34" s="24">
        <v>4184000</v>
      </c>
      <c r="G34" s="24">
        <v>8625759</v>
      </c>
      <c r="H34" s="24">
        <v>11118256</v>
      </c>
      <c r="I34" s="24">
        <v>5703006</v>
      </c>
      <c r="J34" s="24">
        <v>5415493</v>
      </c>
      <c r="K34" s="24">
        <v>4013983</v>
      </c>
      <c r="L34" s="24">
        <v>893156</v>
      </c>
      <c r="M34" s="24">
        <v>479363</v>
      </c>
      <c r="N34" s="24">
        <v>0</v>
      </c>
      <c r="O34" s="24">
        <v>0</v>
      </c>
      <c r="P34" s="24">
        <v>0</v>
      </c>
      <c r="Q34" s="24">
        <v>0</v>
      </c>
      <c r="R34" s="24">
        <v>0</v>
      </c>
      <c r="S34" s="24">
        <v>0</v>
      </c>
      <c r="T34" s="24">
        <v>0</v>
      </c>
      <c r="U34" s="24">
        <v>0</v>
      </c>
      <c r="V34" s="24">
        <v>0</v>
      </c>
      <c r="W34" s="24">
        <v>0</v>
      </c>
    </row>
    <row r="35" spans="1:23" x14ac:dyDescent="0.15">
      <c r="A35" s="1" t="s">
        <v>110</v>
      </c>
      <c r="B35" s="37">
        <f t="shared" ref="B35:J35" si="7">SUM(B28:B34)</f>
        <v>95905000</v>
      </c>
      <c r="C35" s="37">
        <f t="shared" si="7"/>
        <v>102401000</v>
      </c>
      <c r="D35" s="37">
        <f t="shared" si="7"/>
        <v>82503000</v>
      </c>
      <c r="E35" s="37">
        <f t="shared" si="7"/>
        <v>72531000</v>
      </c>
      <c r="F35" s="37">
        <f t="shared" si="7"/>
        <v>68629000</v>
      </c>
      <c r="G35" s="37">
        <f t="shared" si="7"/>
        <v>70992419</v>
      </c>
      <c r="H35" s="37">
        <f t="shared" si="7"/>
        <v>73802168</v>
      </c>
      <c r="I35" s="37">
        <f t="shared" si="7"/>
        <v>68744949</v>
      </c>
      <c r="J35" s="37">
        <f t="shared" si="7"/>
        <v>60475504</v>
      </c>
      <c r="K35" s="37">
        <f t="shared" ref="K35:M35" si="8">SUM(K28:K34)</f>
        <v>59698173</v>
      </c>
      <c r="L35" s="37">
        <f t="shared" si="8"/>
        <v>56785525</v>
      </c>
      <c r="M35" s="37">
        <f t="shared" si="8"/>
        <v>51446279</v>
      </c>
      <c r="N35" s="37">
        <f t="shared" ref="N35:W35" si="9">SUM(N28:N34)</f>
        <v>49556551</v>
      </c>
      <c r="O35" s="37">
        <f t="shared" si="9"/>
        <v>49168627</v>
      </c>
      <c r="P35" s="37">
        <f t="shared" si="9"/>
        <v>50000300</v>
      </c>
      <c r="Q35" s="37">
        <f t="shared" si="9"/>
        <v>50366580</v>
      </c>
      <c r="R35" s="37">
        <f t="shared" si="9"/>
        <v>48240715</v>
      </c>
      <c r="S35" s="37">
        <f t="shared" si="9"/>
        <v>44174272</v>
      </c>
      <c r="T35" s="37">
        <f t="shared" si="9"/>
        <v>40679481</v>
      </c>
      <c r="U35" s="37">
        <f t="shared" si="9"/>
        <v>37283065</v>
      </c>
      <c r="V35" s="37">
        <f t="shared" si="9"/>
        <v>31968962</v>
      </c>
      <c r="W35" s="37">
        <f t="shared" si="9"/>
        <v>25947932</v>
      </c>
    </row>
    <row r="36" spans="1:23" x14ac:dyDescent="0.15">
      <c r="B36" s="24"/>
      <c r="C36" s="24"/>
      <c r="D36" s="24"/>
      <c r="E36" s="24"/>
      <c r="F36" s="24"/>
      <c r="G36" s="24"/>
      <c r="H36" s="24"/>
      <c r="I36" s="24"/>
      <c r="J36" s="24"/>
      <c r="K36" s="24"/>
      <c r="L36" s="24"/>
      <c r="M36" s="24"/>
      <c r="N36" s="24"/>
      <c r="O36" s="24"/>
      <c r="P36" s="24"/>
      <c r="Q36" s="24"/>
      <c r="R36" s="24"/>
      <c r="S36" s="24"/>
      <c r="T36" s="24"/>
      <c r="U36" s="24"/>
      <c r="V36" s="24"/>
      <c r="W36" s="24"/>
    </row>
    <row r="37" spans="1:23" x14ac:dyDescent="0.15">
      <c r="A37" s="1" t="s">
        <v>212</v>
      </c>
      <c r="B37" s="24">
        <v>0</v>
      </c>
      <c r="C37" s="24"/>
      <c r="D37" s="24"/>
      <c r="E37" s="24"/>
      <c r="F37" s="24"/>
      <c r="G37" s="24"/>
      <c r="H37" s="24"/>
      <c r="I37" s="24">
        <v>0</v>
      </c>
      <c r="J37" s="24">
        <v>0</v>
      </c>
      <c r="K37" s="24">
        <v>545489</v>
      </c>
      <c r="L37" s="24">
        <v>493861</v>
      </c>
      <c r="M37" s="24">
        <v>0</v>
      </c>
      <c r="N37" s="24">
        <v>0</v>
      </c>
      <c r="O37" s="24">
        <v>0</v>
      </c>
      <c r="P37" s="24">
        <v>0</v>
      </c>
      <c r="Q37" s="24">
        <v>0</v>
      </c>
      <c r="R37" s="24">
        <v>0</v>
      </c>
      <c r="S37" s="24">
        <v>0</v>
      </c>
      <c r="T37" s="24">
        <v>0</v>
      </c>
      <c r="U37" s="24">
        <v>0</v>
      </c>
      <c r="V37" s="24">
        <v>0</v>
      </c>
      <c r="W37" s="24">
        <v>0</v>
      </c>
    </row>
    <row r="38" spans="1:23" x14ac:dyDescent="0.15">
      <c r="B38" s="24"/>
      <c r="C38" s="24"/>
      <c r="D38" s="24"/>
      <c r="E38" s="24"/>
      <c r="F38" s="24"/>
      <c r="G38" s="24"/>
      <c r="H38" s="24"/>
      <c r="I38" s="24"/>
      <c r="J38" s="24"/>
      <c r="K38" s="24"/>
      <c r="L38" s="24"/>
      <c r="M38" s="24"/>
      <c r="N38" s="24"/>
      <c r="O38" s="24"/>
      <c r="P38" s="24"/>
      <c r="Q38" s="24"/>
      <c r="R38" s="24"/>
      <c r="S38" s="24"/>
      <c r="T38" s="24"/>
      <c r="U38" s="24"/>
      <c r="V38" s="24"/>
      <c r="W38" s="24"/>
    </row>
    <row r="39" spans="1:23" x14ac:dyDescent="0.15">
      <c r="A39" s="1" t="s">
        <v>111</v>
      </c>
      <c r="B39" s="24"/>
      <c r="C39" s="24"/>
      <c r="D39" s="24"/>
      <c r="E39" s="24"/>
      <c r="F39" s="24"/>
      <c r="G39" s="24"/>
      <c r="H39" s="24"/>
      <c r="I39" s="24"/>
      <c r="J39" s="24"/>
      <c r="K39" s="24"/>
      <c r="L39" s="24"/>
      <c r="M39" s="24"/>
      <c r="N39" s="24"/>
      <c r="O39" s="24"/>
      <c r="P39" s="24"/>
      <c r="Q39" s="24"/>
      <c r="R39" s="24"/>
      <c r="S39" s="24"/>
      <c r="T39" s="24"/>
      <c r="U39" s="24"/>
      <c r="V39" s="24"/>
      <c r="W39" s="24"/>
    </row>
    <row r="40" spans="1:23" x14ac:dyDescent="0.15">
      <c r="A40" s="1" t="s">
        <v>112</v>
      </c>
      <c r="B40" s="24">
        <v>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row>
    <row r="41" spans="1:23" x14ac:dyDescent="0.15">
      <c r="A41" s="1" t="s">
        <v>113</v>
      </c>
      <c r="B41" s="24"/>
      <c r="C41" s="24"/>
      <c r="D41" s="24"/>
      <c r="E41" s="24"/>
      <c r="F41" s="24">
        <v>0</v>
      </c>
      <c r="G41" s="24">
        <v>1</v>
      </c>
      <c r="H41" s="24">
        <v>1</v>
      </c>
      <c r="I41" s="24">
        <v>1</v>
      </c>
      <c r="J41" s="24">
        <v>1</v>
      </c>
      <c r="K41" s="24">
        <v>1</v>
      </c>
      <c r="L41" s="24">
        <v>1</v>
      </c>
      <c r="M41" s="24">
        <v>1</v>
      </c>
      <c r="N41" s="24">
        <v>1</v>
      </c>
      <c r="O41" s="24">
        <v>1</v>
      </c>
      <c r="P41" s="24">
        <v>1</v>
      </c>
      <c r="Q41" s="24">
        <v>1</v>
      </c>
      <c r="R41" s="24">
        <v>1</v>
      </c>
      <c r="S41" s="24">
        <v>1</v>
      </c>
      <c r="T41" s="24">
        <v>1</v>
      </c>
      <c r="U41" s="24">
        <v>1</v>
      </c>
      <c r="V41" s="24">
        <v>1</v>
      </c>
      <c r="W41" s="24">
        <v>1</v>
      </c>
    </row>
    <row r="42" spans="1:23" x14ac:dyDescent="0.15">
      <c r="A42" s="1" t="s">
        <v>114</v>
      </c>
      <c r="B42" s="24">
        <v>231274000</v>
      </c>
      <c r="C42" s="24">
        <v>225861000</v>
      </c>
      <c r="D42" s="24">
        <v>196096000</v>
      </c>
      <c r="E42" s="24">
        <v>188262000</v>
      </c>
      <c r="F42" s="24">
        <v>174690000</v>
      </c>
      <c r="G42" s="24">
        <v>161890660</v>
      </c>
      <c r="H42" s="24">
        <v>143283621</v>
      </c>
      <c r="I42" s="24">
        <v>131186866</v>
      </c>
      <c r="J42" s="24">
        <v>124707196</v>
      </c>
      <c r="K42" s="24">
        <v>116714749</v>
      </c>
      <c r="L42" s="24">
        <v>105820459</v>
      </c>
      <c r="M42" s="24">
        <v>99003018</v>
      </c>
      <c r="N42" s="24">
        <v>98240109</v>
      </c>
      <c r="O42" s="24">
        <v>92528818</v>
      </c>
      <c r="P42" s="24">
        <v>88248452</v>
      </c>
      <c r="Q42" s="24">
        <v>95739827</v>
      </c>
      <c r="R42" s="24">
        <v>92134608</v>
      </c>
      <c r="S42" s="24">
        <v>81477022</v>
      </c>
      <c r="T42" s="24">
        <v>69272092</v>
      </c>
      <c r="U42" s="24">
        <v>59756927</v>
      </c>
      <c r="V42" s="24">
        <v>49613044</v>
      </c>
      <c r="W42" s="24">
        <v>41928575</v>
      </c>
    </row>
    <row r="43" spans="1:23" x14ac:dyDescent="0.15">
      <c r="A43" s="1" t="s">
        <v>115</v>
      </c>
      <c r="B43" s="24">
        <v>1218000</v>
      </c>
      <c r="C43" s="24">
        <v>3226000</v>
      </c>
      <c r="D43" s="24">
        <v>4326000</v>
      </c>
      <c r="E43" s="24">
        <v>3100000</v>
      </c>
      <c r="F43" s="24">
        <v>949000</v>
      </c>
      <c r="G43" s="24">
        <v>15944826</v>
      </c>
      <c r="H43" s="24">
        <v>11761447</v>
      </c>
      <c r="I43" s="24">
        <v>11483015</v>
      </c>
      <c r="J43" s="24">
        <v>12856509</v>
      </c>
      <c r="K43" s="24">
        <v>11347404</v>
      </c>
      <c r="L43" s="24">
        <v>8818430</v>
      </c>
      <c r="M43" s="24">
        <v>7509165</v>
      </c>
      <c r="N43" s="24">
        <v>5688705</v>
      </c>
      <c r="O43" s="24">
        <v>4730258</v>
      </c>
      <c r="P43" s="24">
        <v>1609435</v>
      </c>
      <c r="Q43" s="24">
        <v>3536012</v>
      </c>
      <c r="R43" s="24">
        <v>3141054</v>
      </c>
      <c r="S43" s="24">
        <v>2820233</v>
      </c>
      <c r="T43" s="24">
        <v>3235178</v>
      </c>
      <c r="U43" s="24">
        <v>3431818</v>
      </c>
      <c r="V43" s="24">
        <v>3055139</v>
      </c>
      <c r="W43" s="24">
        <v>2343192</v>
      </c>
    </row>
    <row r="44" spans="1:23" x14ac:dyDescent="0.15">
      <c r="A44" s="75" t="s">
        <v>220</v>
      </c>
      <c r="B44" s="76">
        <f t="shared" ref="B44:J44" si="10">SUM(B40:B43)</f>
        <v>232492000</v>
      </c>
      <c r="C44" s="76">
        <f t="shared" si="10"/>
        <v>229087000</v>
      </c>
      <c r="D44" s="76">
        <f t="shared" si="10"/>
        <v>200422000</v>
      </c>
      <c r="E44" s="76">
        <f t="shared" si="10"/>
        <v>191362000</v>
      </c>
      <c r="F44" s="76">
        <f t="shared" si="10"/>
        <v>175639000</v>
      </c>
      <c r="G44" s="76">
        <f t="shared" si="10"/>
        <v>177835487</v>
      </c>
      <c r="H44" s="76">
        <f t="shared" si="10"/>
        <v>155045069</v>
      </c>
      <c r="I44" s="76">
        <f t="shared" si="10"/>
        <v>142669882</v>
      </c>
      <c r="J44" s="76">
        <f t="shared" si="10"/>
        <v>137563706</v>
      </c>
      <c r="K44" s="76">
        <f t="shared" ref="K44:M44" si="11">SUM(K40:K43)</f>
        <v>128062154</v>
      </c>
      <c r="L44" s="76">
        <f t="shared" si="11"/>
        <v>114638890</v>
      </c>
      <c r="M44" s="76">
        <f t="shared" si="11"/>
        <v>106512184</v>
      </c>
      <c r="N44" s="76">
        <f t="shared" ref="N44:W44" si="12">SUM(N40:N43)</f>
        <v>103928815</v>
      </c>
      <c r="O44" s="76">
        <f t="shared" si="12"/>
        <v>97259077</v>
      </c>
      <c r="P44" s="76">
        <f t="shared" si="12"/>
        <v>89857888</v>
      </c>
      <c r="Q44" s="76">
        <f t="shared" si="12"/>
        <v>99275840</v>
      </c>
      <c r="R44" s="76">
        <f t="shared" si="12"/>
        <v>95275663</v>
      </c>
      <c r="S44" s="76">
        <f t="shared" si="12"/>
        <v>84297256</v>
      </c>
      <c r="T44" s="76">
        <f t="shared" si="12"/>
        <v>72507271</v>
      </c>
      <c r="U44" s="76">
        <f t="shared" si="12"/>
        <v>63188746</v>
      </c>
      <c r="V44" s="76">
        <f t="shared" si="12"/>
        <v>52668184</v>
      </c>
      <c r="W44" s="76">
        <f t="shared" si="12"/>
        <v>44271768</v>
      </c>
    </row>
    <row r="45" spans="1:23" x14ac:dyDescent="0.15">
      <c r="A45" s="1" t="s">
        <v>221</v>
      </c>
      <c r="B45" s="37">
        <v>0</v>
      </c>
      <c r="C45" s="37">
        <v>0</v>
      </c>
      <c r="D45" s="37">
        <v>0</v>
      </c>
      <c r="E45" s="37">
        <v>0</v>
      </c>
      <c r="F45" s="37">
        <v>0</v>
      </c>
      <c r="G45" s="37">
        <v>84953</v>
      </c>
      <c r="H45" s="37">
        <v>90885</v>
      </c>
      <c r="I45" s="37">
        <v>107198</v>
      </c>
      <c r="J45" s="37">
        <v>0</v>
      </c>
      <c r="K45" s="37">
        <v>0</v>
      </c>
      <c r="L45" s="37">
        <v>0</v>
      </c>
      <c r="M45" s="37">
        <v>0</v>
      </c>
      <c r="N45" s="37">
        <v>0</v>
      </c>
      <c r="O45" s="37">
        <v>0</v>
      </c>
      <c r="P45" s="37">
        <v>0</v>
      </c>
      <c r="Q45" s="37">
        <v>0</v>
      </c>
      <c r="R45" s="37">
        <v>0</v>
      </c>
      <c r="S45" s="37">
        <v>0</v>
      </c>
      <c r="T45" s="37">
        <v>0</v>
      </c>
      <c r="U45" s="37">
        <v>0</v>
      </c>
      <c r="V45" s="37">
        <v>0</v>
      </c>
      <c r="W45" s="37">
        <v>0</v>
      </c>
    </row>
    <row r="46" spans="1:23" x14ac:dyDescent="0.15">
      <c r="A46" s="1" t="s">
        <v>222</v>
      </c>
      <c r="B46" s="37">
        <f t="shared" ref="B46:H46" si="13">SUM(B44:B45)</f>
        <v>232492000</v>
      </c>
      <c r="C46" s="37">
        <f t="shared" si="13"/>
        <v>229087000</v>
      </c>
      <c r="D46" s="37">
        <f t="shared" si="13"/>
        <v>200422000</v>
      </c>
      <c r="E46" s="37">
        <f t="shared" si="13"/>
        <v>191362000</v>
      </c>
      <c r="F46" s="37">
        <f t="shared" si="13"/>
        <v>175639000</v>
      </c>
      <c r="G46" s="37">
        <f t="shared" si="13"/>
        <v>177920440</v>
      </c>
      <c r="H46" s="37">
        <f t="shared" si="13"/>
        <v>155135954</v>
      </c>
      <c r="I46" s="37">
        <f>SUM(I44:I45)</f>
        <v>142777080</v>
      </c>
      <c r="J46" s="37">
        <f t="shared" ref="J46:W46" si="14">SUM(J44:J45)</f>
        <v>137563706</v>
      </c>
      <c r="K46" s="37">
        <f t="shared" si="14"/>
        <v>128062154</v>
      </c>
      <c r="L46" s="37">
        <f t="shared" si="14"/>
        <v>114638890</v>
      </c>
      <c r="M46" s="37">
        <f t="shared" si="14"/>
        <v>106512184</v>
      </c>
      <c r="N46" s="37">
        <f t="shared" si="14"/>
        <v>103928815</v>
      </c>
      <c r="O46" s="37">
        <f t="shared" si="14"/>
        <v>97259077</v>
      </c>
      <c r="P46" s="37">
        <f t="shared" si="14"/>
        <v>89857888</v>
      </c>
      <c r="Q46" s="37">
        <f t="shared" si="14"/>
        <v>99275840</v>
      </c>
      <c r="R46" s="37">
        <f t="shared" si="14"/>
        <v>95275663</v>
      </c>
      <c r="S46" s="37">
        <f t="shared" si="14"/>
        <v>84297256</v>
      </c>
      <c r="T46" s="37">
        <f t="shared" si="14"/>
        <v>72507271</v>
      </c>
      <c r="U46" s="37">
        <f t="shared" si="14"/>
        <v>63188746</v>
      </c>
      <c r="V46" s="37">
        <f t="shared" si="14"/>
        <v>52668184</v>
      </c>
      <c r="W46" s="37">
        <f t="shared" si="14"/>
        <v>44271768</v>
      </c>
    </row>
    <row r="47" spans="1:23" ht="13" thickBot="1" x14ac:dyDescent="0.2">
      <c r="A47" s="2" t="s">
        <v>116</v>
      </c>
      <c r="B47" s="35">
        <f t="shared" ref="B47" si="15">B35+B37+B46</f>
        <v>328397000</v>
      </c>
      <c r="C47" s="35">
        <f t="shared" ref="C47" si="16">C35+C37+C46</f>
        <v>331488000</v>
      </c>
      <c r="D47" s="35">
        <f t="shared" ref="D47" si="17">D35+D37+D46</f>
        <v>282925000</v>
      </c>
      <c r="E47" s="35">
        <f t="shared" ref="E47" si="18">E35+E37+E46</f>
        <v>263893000</v>
      </c>
      <c r="F47" s="35">
        <f t="shared" ref="F47" si="19">F35+F37+F46</f>
        <v>244268000</v>
      </c>
      <c r="G47" s="35">
        <f t="shared" ref="G47" si="20">G35+G37+G46</f>
        <v>248912859</v>
      </c>
      <c r="H47" s="35">
        <f t="shared" ref="H47" si="21">H35+H37+H46</f>
        <v>228938122</v>
      </c>
      <c r="I47" s="35">
        <f t="shared" ref="I47" si="22">I35+I37+I46</f>
        <v>211522029</v>
      </c>
      <c r="J47" s="35">
        <f t="shared" ref="J47:W47" si="23">J35+J37+J46</f>
        <v>198039210</v>
      </c>
      <c r="K47" s="35">
        <f t="shared" si="23"/>
        <v>188305816</v>
      </c>
      <c r="L47" s="35">
        <f t="shared" si="23"/>
        <v>171918276</v>
      </c>
      <c r="M47" s="35">
        <f t="shared" si="23"/>
        <v>157958463</v>
      </c>
      <c r="N47" s="35">
        <f t="shared" si="23"/>
        <v>153485366</v>
      </c>
      <c r="O47" s="35">
        <f t="shared" si="23"/>
        <v>146427704</v>
      </c>
      <c r="P47" s="35">
        <f t="shared" si="23"/>
        <v>139858188</v>
      </c>
      <c r="Q47" s="35">
        <f t="shared" si="23"/>
        <v>149642420</v>
      </c>
      <c r="R47" s="35">
        <f t="shared" si="23"/>
        <v>143516378</v>
      </c>
      <c r="S47" s="35">
        <f t="shared" si="23"/>
        <v>128471528</v>
      </c>
      <c r="T47" s="35">
        <f t="shared" si="23"/>
        <v>113186752</v>
      </c>
      <c r="U47" s="35">
        <f t="shared" si="23"/>
        <v>100471811</v>
      </c>
      <c r="V47" s="35">
        <f t="shared" si="23"/>
        <v>84637146</v>
      </c>
      <c r="W47" s="35">
        <f t="shared" si="23"/>
        <v>70219700</v>
      </c>
    </row>
    <row r="48" spans="1:23" ht="13" thickTop="1" x14ac:dyDescent="0.15">
      <c r="B48" s="66">
        <f>B47-B24</f>
        <v>0</v>
      </c>
      <c r="C48" s="66">
        <f t="shared" ref="C48:J48" si="24">C47-C24</f>
        <v>0</v>
      </c>
      <c r="D48" s="66">
        <f t="shared" si="24"/>
        <v>0</v>
      </c>
      <c r="E48" s="66">
        <f t="shared" si="24"/>
        <v>0</v>
      </c>
      <c r="F48" s="66">
        <f t="shared" si="24"/>
        <v>0</v>
      </c>
      <c r="G48" s="66">
        <f t="shared" si="24"/>
        <v>0</v>
      </c>
      <c r="H48" s="66">
        <f t="shared" si="24"/>
        <v>0</v>
      </c>
      <c r="I48" s="66">
        <f t="shared" si="24"/>
        <v>0</v>
      </c>
      <c r="J48" s="66">
        <f t="shared" si="24"/>
        <v>0</v>
      </c>
      <c r="K48" s="66">
        <f>K47-K24</f>
        <v>0</v>
      </c>
      <c r="L48" s="66">
        <f>L47-L24</f>
        <v>0</v>
      </c>
      <c r="M48" s="66">
        <f t="shared" ref="M48:W48" si="25">M47-M24</f>
        <v>0</v>
      </c>
      <c r="N48" s="66">
        <f t="shared" si="25"/>
        <v>0</v>
      </c>
      <c r="O48" s="66">
        <f t="shared" si="25"/>
        <v>0</v>
      </c>
      <c r="P48" s="66">
        <f t="shared" si="25"/>
        <v>0</v>
      </c>
      <c r="Q48" s="66">
        <f t="shared" si="25"/>
        <v>0</v>
      </c>
      <c r="R48" s="66">
        <f t="shared" si="25"/>
        <v>0</v>
      </c>
      <c r="S48" s="66">
        <f t="shared" si="25"/>
        <v>0</v>
      </c>
      <c r="T48" s="66">
        <f t="shared" si="25"/>
        <v>0</v>
      </c>
      <c r="U48" s="66">
        <f t="shared" si="25"/>
        <v>0</v>
      </c>
      <c r="V48" s="66">
        <f t="shared" si="25"/>
        <v>0</v>
      </c>
      <c r="W48" s="66">
        <f t="shared" si="25"/>
        <v>0</v>
      </c>
    </row>
    <row r="49" spans="1:23" x14ac:dyDescent="0.15">
      <c r="A49" s="1" t="s">
        <v>117</v>
      </c>
      <c r="B49" s="24">
        <v>1897000</v>
      </c>
      <c r="C49" s="24">
        <v>1895000</v>
      </c>
      <c r="D49" s="24">
        <v>1892000</v>
      </c>
      <c r="E49" s="24">
        <v>1889000</v>
      </c>
      <c r="F49" s="24">
        <v>1887000</v>
      </c>
      <c r="G49" s="24">
        <v>1885993</v>
      </c>
      <c r="H49" s="24">
        <v>1884283</v>
      </c>
      <c r="I49" s="24">
        <v>1949797</v>
      </c>
      <c r="J49" s="24">
        <v>2023270</v>
      </c>
      <c r="K49" s="24">
        <v>2043359</v>
      </c>
      <c r="L49" s="24">
        <v>2043359</v>
      </c>
      <c r="M49" s="24">
        <v>2107681</v>
      </c>
      <c r="N49" s="24">
        <v>2282596</v>
      </c>
      <c r="O49" s="24">
        <v>2285289</v>
      </c>
      <c r="P49" s="24">
        <v>2293268</v>
      </c>
      <c r="Q49" s="24">
        <v>2411318</v>
      </c>
      <c r="R49" s="24">
        <v>2507325</v>
      </c>
      <c r="S49" s="24">
        <v>2549434</v>
      </c>
      <c r="T49" s="24">
        <v>2481024</v>
      </c>
      <c r="U49" s="24">
        <v>2503923</v>
      </c>
      <c r="V49" s="24">
        <v>2515804</v>
      </c>
      <c r="W49" s="24">
        <v>2516298</v>
      </c>
    </row>
    <row r="50" spans="1:23" x14ac:dyDescent="0.15">
      <c r="A50" s="1" t="s">
        <v>118</v>
      </c>
      <c r="B50" s="38">
        <f t="shared" ref="B50:J50" si="26">B44/B49</f>
        <v>122.55772272008434</v>
      </c>
      <c r="C50" s="38">
        <f t="shared" si="26"/>
        <v>120.89023746701847</v>
      </c>
      <c r="D50" s="38">
        <f t="shared" si="26"/>
        <v>105.93128964059197</v>
      </c>
      <c r="E50" s="38">
        <f t="shared" si="26"/>
        <v>101.30333509793542</v>
      </c>
      <c r="F50" s="38">
        <f t="shared" si="26"/>
        <v>93.078431372549019</v>
      </c>
      <c r="G50" s="38">
        <f t="shared" si="26"/>
        <v>94.292760895719127</v>
      </c>
      <c r="H50" s="38">
        <f t="shared" si="26"/>
        <v>82.283324214037918</v>
      </c>
      <c r="I50" s="38">
        <f t="shared" si="26"/>
        <v>73.171659408646136</v>
      </c>
      <c r="J50" s="38">
        <f t="shared" si="26"/>
        <v>67.990780271540629</v>
      </c>
      <c r="K50" s="38">
        <f t="shared" ref="K50:M50" si="27">K44/K49</f>
        <v>62.672371325841418</v>
      </c>
      <c r="L50" s="38">
        <f t="shared" si="27"/>
        <v>56.103156616140382</v>
      </c>
      <c r="M50" s="38">
        <f t="shared" si="27"/>
        <v>50.535248929985137</v>
      </c>
      <c r="N50" s="38">
        <f t="shared" ref="N50:W50" si="28">N44/N49</f>
        <v>45.530972191311996</v>
      </c>
      <c r="O50" s="38">
        <f t="shared" si="28"/>
        <v>42.558764777671442</v>
      </c>
      <c r="P50" s="38">
        <f t="shared" si="28"/>
        <v>39.183334874074902</v>
      </c>
      <c r="Q50" s="38">
        <f t="shared" si="28"/>
        <v>41.170778802298159</v>
      </c>
      <c r="R50" s="38">
        <f t="shared" si="28"/>
        <v>37.998928339963904</v>
      </c>
      <c r="S50" s="38">
        <f t="shared" si="28"/>
        <v>33.065086603536315</v>
      </c>
      <c r="T50" s="38">
        <f t="shared" si="28"/>
        <v>29.224735834881081</v>
      </c>
      <c r="U50" s="38">
        <f t="shared" si="28"/>
        <v>25.235898228499838</v>
      </c>
      <c r="V50" s="38">
        <f t="shared" si="28"/>
        <v>20.93493133805336</v>
      </c>
      <c r="W50" s="38">
        <f t="shared" si="28"/>
        <v>17.594008340824498</v>
      </c>
    </row>
    <row r="51" spans="1:23" x14ac:dyDescent="0.15">
      <c r="A51" s="1" t="s">
        <v>224</v>
      </c>
      <c r="B51" s="38">
        <f>(B44-B19)/B49</f>
        <v>114.32314180284661</v>
      </c>
      <c r="C51" s="38">
        <f t="shared" ref="C51:W51" si="29">(C44-C19)/C49</f>
        <v>112.47282321899736</v>
      </c>
      <c r="D51" s="38">
        <f t="shared" si="29"/>
        <v>100.7669133192389</v>
      </c>
      <c r="E51" s="38">
        <f t="shared" si="29"/>
        <v>95.863949179460036</v>
      </c>
      <c r="F51" s="38">
        <f t="shared" si="29"/>
        <v>87.365659777424483</v>
      </c>
      <c r="G51" s="38">
        <f t="shared" si="29"/>
        <v>88.270845650010372</v>
      </c>
      <c r="H51" s="38">
        <f t="shared" si="29"/>
        <v>75.77865320655124</v>
      </c>
      <c r="I51" s="38">
        <f t="shared" si="29"/>
        <v>72.545653214155109</v>
      </c>
      <c r="J51" s="38">
        <f t="shared" si="29"/>
        <v>67.990780271540629</v>
      </c>
      <c r="K51" s="38">
        <f t="shared" si="29"/>
        <v>62.672371325841418</v>
      </c>
      <c r="L51" s="38">
        <f t="shared" si="29"/>
        <v>56.103156616140382</v>
      </c>
      <c r="M51" s="38">
        <f t="shared" si="29"/>
        <v>50.535248929985137</v>
      </c>
      <c r="N51" s="38">
        <f t="shared" si="29"/>
        <v>45.530972191311996</v>
      </c>
      <c r="O51" s="38">
        <f t="shared" si="29"/>
        <v>42.558764777671442</v>
      </c>
      <c r="P51" s="38">
        <f t="shared" si="29"/>
        <v>39.183334874074902</v>
      </c>
      <c r="Q51" s="38">
        <f t="shared" si="29"/>
        <v>41.170778802298159</v>
      </c>
      <c r="R51" s="38">
        <f t="shared" si="29"/>
        <v>37.998928339963904</v>
      </c>
      <c r="S51" s="38">
        <f t="shared" si="29"/>
        <v>33.065086603536315</v>
      </c>
      <c r="T51" s="38">
        <f t="shared" si="29"/>
        <v>29.224735834881081</v>
      </c>
      <c r="U51" s="38">
        <f t="shared" si="29"/>
        <v>25.235898228499838</v>
      </c>
      <c r="V51" s="38">
        <f t="shared" si="29"/>
        <v>20.93493133805336</v>
      </c>
      <c r="W51" s="38">
        <f t="shared" si="29"/>
        <v>17.594008340824498</v>
      </c>
    </row>
    <row r="52" spans="1:23" x14ac:dyDescent="0.15">
      <c r="M52" s="1"/>
      <c r="N52" s="24"/>
      <c r="O52" s="24"/>
      <c r="P52" s="24"/>
      <c r="Q52" s="24"/>
      <c r="R52" s="24"/>
      <c r="S52" s="24"/>
      <c r="T52" s="24"/>
      <c r="U52" s="24"/>
      <c r="V52" s="24"/>
      <c r="W52" s="24"/>
    </row>
    <row r="53" spans="1:23" x14ac:dyDescent="0.15">
      <c r="A53" s="1" t="s">
        <v>122</v>
      </c>
      <c r="B53" s="39">
        <f>(B49/C49)-1</f>
        <v>1.0554089709762238E-3</v>
      </c>
      <c r="C53" s="39">
        <f t="shared" ref="C53:V53" si="30">(C49/D49)-1</f>
        <v>1.5856236786468969E-3</v>
      </c>
      <c r="D53" s="39">
        <f t="shared" si="30"/>
        <v>1.5881418740073538E-3</v>
      </c>
      <c r="E53" s="39">
        <f t="shared" si="30"/>
        <v>1.0598834128245915E-3</v>
      </c>
      <c r="F53" s="39">
        <f t="shared" si="30"/>
        <v>5.3393623412167912E-4</v>
      </c>
      <c r="G53" s="39">
        <f t="shared" si="30"/>
        <v>9.0750699337616147E-4</v>
      </c>
      <c r="H53" s="39">
        <f t="shared" si="30"/>
        <v>-3.3600420966900635E-2</v>
      </c>
      <c r="I53" s="39">
        <f t="shared" si="30"/>
        <v>-3.6313986764000883E-2</v>
      </c>
      <c r="J53" s="39">
        <f t="shared" si="30"/>
        <v>-9.8313610090052794E-3</v>
      </c>
      <c r="K53" s="39">
        <f t="shared" si="30"/>
        <v>0</v>
      </c>
      <c r="L53" s="39">
        <f t="shared" si="30"/>
        <v>-3.0517900953702215E-2</v>
      </c>
      <c r="M53" s="39">
        <f t="shared" si="30"/>
        <v>-7.6629854779382778E-2</v>
      </c>
      <c r="N53" s="39">
        <f t="shared" si="30"/>
        <v>-1.1784067573072932E-3</v>
      </c>
      <c r="O53" s="39">
        <f t="shared" si="30"/>
        <v>-3.4793142362776752E-3</v>
      </c>
      <c r="P53" s="39">
        <f t="shared" si="30"/>
        <v>-4.8956628698496041E-2</v>
      </c>
      <c r="Q53" s="39">
        <f t="shared" si="30"/>
        <v>-3.8290608517045022E-2</v>
      </c>
      <c r="R53" s="39">
        <f t="shared" si="30"/>
        <v>-1.6516999459487924E-2</v>
      </c>
      <c r="S53" s="39">
        <f t="shared" si="30"/>
        <v>2.7573292318010534E-2</v>
      </c>
      <c r="T53" s="39">
        <f t="shared" si="30"/>
        <v>-9.1452492748379521E-3</v>
      </c>
      <c r="U53" s="39">
        <f t="shared" si="30"/>
        <v>-4.7225459535003012E-3</v>
      </c>
      <c r="V53" s="39">
        <f t="shared" si="30"/>
        <v>-1.9632014968018474E-4</v>
      </c>
      <c r="W53" s="40"/>
    </row>
    <row r="54" spans="1:23" x14ac:dyDescent="0.15">
      <c r="A54" s="1" t="s">
        <v>139</v>
      </c>
      <c r="B54" s="39">
        <f>(B50/C50)-1</f>
        <v>1.3793382228410422E-2</v>
      </c>
      <c r="C54" s="39">
        <f t="shared" ref="C54:V54" si="31">(C50/D50)-1</f>
        <v>0.14121368556145986</v>
      </c>
      <c r="D54" s="39">
        <f t="shared" si="31"/>
        <v>4.5684128150198289E-2</v>
      </c>
      <c r="E54" s="39">
        <f t="shared" si="31"/>
        <v>8.836530229507189E-2</v>
      </c>
      <c r="F54" s="39">
        <f t="shared" si="31"/>
        <v>-1.2878290036634543E-2</v>
      </c>
      <c r="G54" s="39">
        <f t="shared" si="31"/>
        <v>0.14595225455940364</v>
      </c>
      <c r="H54" s="39">
        <f t="shared" si="31"/>
        <v>0.12452450687916383</v>
      </c>
      <c r="I54" s="39">
        <f t="shared" si="31"/>
        <v>7.6199730557793055E-2</v>
      </c>
      <c r="J54" s="39">
        <f t="shared" si="31"/>
        <v>8.4860502852974085E-2</v>
      </c>
      <c r="K54" s="39">
        <f t="shared" si="31"/>
        <v>0.11709171294313814</v>
      </c>
      <c r="L54" s="39">
        <f t="shared" si="31"/>
        <v>0.11017869317057061</v>
      </c>
      <c r="M54" s="39">
        <f t="shared" si="31"/>
        <v>0.10990928806980382</v>
      </c>
      <c r="N54" s="39">
        <f t="shared" si="31"/>
        <v>6.9837727414493234E-2</v>
      </c>
      <c r="O54" s="39">
        <f t="shared" si="31"/>
        <v>8.6144528393111486E-2</v>
      </c>
      <c r="P54" s="39">
        <f t="shared" si="31"/>
        <v>-4.827316815567062E-2</v>
      </c>
      <c r="Q54" s="39">
        <f t="shared" si="31"/>
        <v>8.3472103053979563E-2</v>
      </c>
      <c r="R54" s="39">
        <f t="shared" si="31"/>
        <v>0.14921605364553669</v>
      </c>
      <c r="S54" s="39">
        <f t="shared" si="31"/>
        <v>0.13140754429237989</v>
      </c>
      <c r="T54" s="39">
        <f t="shared" si="31"/>
        <v>0.1580620420269605</v>
      </c>
      <c r="U54" s="39">
        <f t="shared" si="31"/>
        <v>0.20544451858930257</v>
      </c>
      <c r="V54" s="39">
        <f t="shared" si="31"/>
        <v>0.1898898154706854</v>
      </c>
      <c r="W54" s="40"/>
    </row>
    <row r="55" spans="1:23" x14ac:dyDescent="0.15">
      <c r="A55" s="1" t="s">
        <v>225</v>
      </c>
      <c r="B55" s="39">
        <f>(B51/C51)-1</f>
        <v>1.6451250452266697E-2</v>
      </c>
      <c r="C55" s="39">
        <f t="shared" ref="C55:V55" si="32">(C51/D51)-1</f>
        <v>0.11616818967822362</v>
      </c>
      <c r="D55" s="39">
        <f t="shared" si="32"/>
        <v>5.114502565088741E-2</v>
      </c>
      <c r="E55" s="39">
        <f t="shared" si="32"/>
        <v>9.7272651791173503E-2</v>
      </c>
      <c r="F55" s="39">
        <f t="shared" si="32"/>
        <v>-1.0254641449509938E-2</v>
      </c>
      <c r="G55" s="39">
        <f t="shared" si="32"/>
        <v>0.16485107500405083</v>
      </c>
      <c r="H55" s="39">
        <f t="shared" si="32"/>
        <v>4.4565040759262375E-2</v>
      </c>
      <c r="I55" s="39">
        <f t="shared" si="32"/>
        <v>6.6992508755206126E-2</v>
      </c>
      <c r="J55" s="39">
        <f t="shared" si="32"/>
        <v>8.4860502852974085E-2</v>
      </c>
      <c r="K55" s="39">
        <f t="shared" si="32"/>
        <v>0.11709171294313814</v>
      </c>
      <c r="L55" s="39">
        <f t="shared" si="32"/>
        <v>0.11017869317057061</v>
      </c>
      <c r="M55" s="39">
        <f t="shared" si="32"/>
        <v>0.10990928806980382</v>
      </c>
      <c r="N55" s="39">
        <f t="shared" si="32"/>
        <v>6.9837727414493234E-2</v>
      </c>
      <c r="O55" s="39">
        <f t="shared" si="32"/>
        <v>8.6144528393111486E-2</v>
      </c>
      <c r="P55" s="39">
        <f t="shared" si="32"/>
        <v>-4.827316815567062E-2</v>
      </c>
      <c r="Q55" s="39">
        <f t="shared" si="32"/>
        <v>8.3472103053979563E-2</v>
      </c>
      <c r="R55" s="39">
        <f t="shared" si="32"/>
        <v>0.14921605364553669</v>
      </c>
      <c r="S55" s="39">
        <f t="shared" si="32"/>
        <v>0.13140754429237989</v>
      </c>
      <c r="T55" s="39">
        <f t="shared" si="32"/>
        <v>0.1580620420269605</v>
      </c>
      <c r="U55" s="39">
        <f t="shared" si="32"/>
        <v>0.20544451858930257</v>
      </c>
      <c r="V55" s="39">
        <f t="shared" si="32"/>
        <v>0.1898898154706854</v>
      </c>
      <c r="W55" s="40"/>
    </row>
    <row r="56" spans="1:23" x14ac:dyDescent="0.15">
      <c r="M56" s="1"/>
      <c r="N56" s="24"/>
      <c r="O56" s="24"/>
      <c r="P56" s="24"/>
      <c r="Q56" s="24"/>
      <c r="R56" s="24"/>
      <c r="S56" s="24"/>
      <c r="T56" s="24"/>
      <c r="U56" s="24"/>
      <c r="V56" s="24"/>
      <c r="W56" s="24"/>
    </row>
    <row r="57" spans="1:23" x14ac:dyDescent="0.15">
      <c r="A57" s="1" t="s">
        <v>123</v>
      </c>
      <c r="B57" s="24">
        <f t="shared" ref="B57:J57" si="33">B12+B13</f>
        <v>253752000</v>
      </c>
      <c r="C57" s="24">
        <f t="shared" si="33"/>
        <v>260040000</v>
      </c>
      <c r="D57" s="24">
        <f t="shared" si="33"/>
        <v>227018000</v>
      </c>
      <c r="E57" s="24">
        <f t="shared" si="33"/>
        <v>218811000</v>
      </c>
      <c r="F57" s="24">
        <f t="shared" si="33"/>
        <v>201363000</v>
      </c>
      <c r="G57" s="24">
        <f t="shared" si="33"/>
        <v>206734475</v>
      </c>
      <c r="H57" s="24">
        <f t="shared" si="33"/>
        <v>188782179</v>
      </c>
      <c r="I57" s="24">
        <f t="shared" si="33"/>
        <v>182342150</v>
      </c>
      <c r="J57" s="24">
        <f t="shared" si="33"/>
        <v>175237708</v>
      </c>
      <c r="K57" s="24">
        <f t="shared" ref="K57:M57" si="34">K12+K13</f>
        <v>166390443</v>
      </c>
      <c r="L57" s="24">
        <f t="shared" si="34"/>
        <v>151588677</v>
      </c>
      <c r="M57" s="24">
        <f t="shared" si="34"/>
        <v>143743574</v>
      </c>
      <c r="N57" s="24">
        <f t="shared" ref="N57:W57" si="35">N12+N13</f>
        <v>138115466</v>
      </c>
      <c r="O57" s="24">
        <f t="shared" si="35"/>
        <v>132415362</v>
      </c>
      <c r="P57" s="24">
        <f t="shared" si="35"/>
        <v>121046999</v>
      </c>
      <c r="Q57" s="24">
        <f t="shared" si="35"/>
        <v>132027143</v>
      </c>
      <c r="R57" s="24">
        <f t="shared" si="35"/>
        <v>125038478</v>
      </c>
      <c r="S57" s="24">
        <f t="shared" si="35"/>
        <v>109761054</v>
      </c>
      <c r="T57" s="24">
        <f t="shared" si="35"/>
        <v>97986988</v>
      </c>
      <c r="U57" s="24">
        <f t="shared" si="35"/>
        <v>84967539</v>
      </c>
      <c r="V57" s="24">
        <f t="shared" si="35"/>
        <v>69118400</v>
      </c>
      <c r="W57" s="24">
        <f t="shared" si="35"/>
        <v>56541626</v>
      </c>
    </row>
    <row r="58" spans="1:23" x14ac:dyDescent="0.15">
      <c r="A58" s="1" t="s">
        <v>124</v>
      </c>
      <c r="B58" s="40">
        <f t="shared" ref="B58:K58" si="36">B57/B44</f>
        <v>1.0914440066754985</v>
      </c>
      <c r="C58" s="40">
        <f t="shared" ref="C58:J58" si="37">C57/C44</f>
        <v>1.1351146071143277</v>
      </c>
      <c r="D58" s="40">
        <f t="shared" si="37"/>
        <v>1.1327000029936833</v>
      </c>
      <c r="E58" s="40">
        <f t="shared" si="37"/>
        <v>1.1434401814362307</v>
      </c>
      <c r="F58" s="40">
        <f t="shared" si="37"/>
        <v>1.1464594993139336</v>
      </c>
      <c r="G58" s="40">
        <f t="shared" si="37"/>
        <v>1.1625040563473139</v>
      </c>
      <c r="H58" s="40">
        <f t="shared" si="37"/>
        <v>1.217595504440067</v>
      </c>
      <c r="I58" s="40">
        <f t="shared" si="37"/>
        <v>1.2780703778811564</v>
      </c>
      <c r="J58" s="40">
        <f t="shared" si="37"/>
        <v>1.2738658552859865</v>
      </c>
      <c r="K58" s="40">
        <f t="shared" si="36"/>
        <v>1.2992944269858213</v>
      </c>
      <c r="L58" s="40">
        <f t="shared" ref="L58:M58" si="38">L57/L44</f>
        <v>1.3223145914968297</v>
      </c>
      <c r="M58" s="40">
        <f t="shared" si="38"/>
        <v>1.349550526538823</v>
      </c>
      <c r="N58" s="40">
        <f t="shared" ref="N58:W58" si="39">N57/N44</f>
        <v>1.3289429500374847</v>
      </c>
      <c r="O58" s="40">
        <f t="shared" si="39"/>
        <v>1.3614704774547675</v>
      </c>
      <c r="P58" s="40">
        <f t="shared" si="39"/>
        <v>1.3470937465167221</v>
      </c>
      <c r="Q58" s="40">
        <f t="shared" si="39"/>
        <v>1.3299020486756898</v>
      </c>
      <c r="R58" s="40">
        <f t="shared" si="39"/>
        <v>1.3123863331184586</v>
      </c>
      <c r="S58" s="40">
        <f t="shared" si="39"/>
        <v>1.3020714932879902</v>
      </c>
      <c r="T58" s="40">
        <f t="shared" si="39"/>
        <v>1.3514091297133497</v>
      </c>
      <c r="U58" s="40">
        <f t="shared" si="39"/>
        <v>1.3446625289889438</v>
      </c>
      <c r="V58" s="40">
        <f t="shared" si="39"/>
        <v>1.3123368749528179</v>
      </c>
      <c r="W58" s="40">
        <f t="shared" si="39"/>
        <v>1.277148588237994</v>
      </c>
    </row>
    <row r="59" spans="1:23" x14ac:dyDescent="0.15">
      <c r="M59" s="1"/>
      <c r="N59" s="40"/>
      <c r="O59" s="40"/>
      <c r="P59" s="40"/>
      <c r="Q59" s="40"/>
      <c r="R59" s="40"/>
      <c r="S59" s="40"/>
      <c r="T59" s="40"/>
      <c r="U59" s="40"/>
      <c r="V59" s="40"/>
      <c r="W59" s="40"/>
    </row>
    <row r="60" spans="1:23" x14ac:dyDescent="0.15">
      <c r="A60" s="1" t="s">
        <v>171</v>
      </c>
      <c r="B60" s="40">
        <f t="shared" ref="B60:J60" si="40">B24/B35</f>
        <v>3.4241906052864812</v>
      </c>
      <c r="C60" s="40">
        <f t="shared" si="40"/>
        <v>3.2371558871495396</v>
      </c>
      <c r="D60" s="40">
        <f t="shared" si="40"/>
        <v>3.4292692386943506</v>
      </c>
      <c r="E60" s="40">
        <f t="shared" si="40"/>
        <v>3.6383477409659317</v>
      </c>
      <c r="F60" s="40">
        <f t="shared" si="40"/>
        <v>3.5592533768523511</v>
      </c>
      <c r="G60" s="40">
        <f t="shared" si="40"/>
        <v>3.5061892876195695</v>
      </c>
      <c r="H60" s="40">
        <f t="shared" si="40"/>
        <v>3.1020514465103517</v>
      </c>
      <c r="I60" s="40">
        <f t="shared" si="40"/>
        <v>3.0769101159708474</v>
      </c>
      <c r="J60" s="40">
        <f t="shared" si="40"/>
        <v>3.274701274089423</v>
      </c>
      <c r="K60" s="40">
        <f t="shared" ref="K60:M60" si="41">K24/K35</f>
        <v>3.1542978040550755</v>
      </c>
      <c r="L60" s="40">
        <f t="shared" si="41"/>
        <v>3.0275017445026702</v>
      </c>
      <c r="M60" s="40">
        <f t="shared" si="41"/>
        <v>3.070357391639539</v>
      </c>
      <c r="N60" s="40">
        <f t="shared" ref="N60:W60" si="42">N24/N35</f>
        <v>3.0971761130026985</v>
      </c>
      <c r="O60" s="40">
        <f t="shared" si="42"/>
        <v>2.9780718505725208</v>
      </c>
      <c r="P60" s="40">
        <f t="shared" si="42"/>
        <v>2.7971469771181372</v>
      </c>
      <c r="Q60" s="40">
        <f t="shared" si="42"/>
        <v>2.9710657344612241</v>
      </c>
      <c r="R60" s="40">
        <f t="shared" si="42"/>
        <v>2.9750052004826215</v>
      </c>
      <c r="S60" s="40">
        <f t="shared" si="42"/>
        <v>2.9082885168996109</v>
      </c>
      <c r="T60" s="40">
        <f t="shared" si="42"/>
        <v>2.7824040331291346</v>
      </c>
      <c r="U60" s="40">
        <f t="shared" si="42"/>
        <v>2.6948377500615894</v>
      </c>
      <c r="V60" s="40">
        <f t="shared" si="42"/>
        <v>2.6474787013729131</v>
      </c>
      <c r="W60" s="40">
        <f t="shared" si="42"/>
        <v>2.70617712425021</v>
      </c>
    </row>
    <row r="61" spans="1:23" x14ac:dyDescent="0.15">
      <c r="M61" s="1"/>
    </row>
    <row r="62" spans="1:23" x14ac:dyDescent="0.15">
      <c r="A62" s="2" t="s">
        <v>138</v>
      </c>
      <c r="B62" s="2"/>
      <c r="C62" s="2"/>
      <c r="D62" s="2"/>
      <c r="E62" s="2"/>
      <c r="F62" s="2"/>
      <c r="G62" s="2"/>
      <c r="H62" s="2"/>
      <c r="I62" s="2"/>
      <c r="J62" s="2"/>
      <c r="K62" s="2"/>
      <c r="L62" s="2"/>
      <c r="M62" s="2"/>
    </row>
    <row r="63" spans="1:23" x14ac:dyDescent="0.15">
      <c r="A63" s="1" t="s">
        <v>132</v>
      </c>
      <c r="B63" s="40">
        <f t="shared" ref="B63:W63" si="43">B13/B57</f>
        <v>0.14703332387527981</v>
      </c>
      <c r="C63" s="40">
        <f t="shared" si="43"/>
        <v>0.1429318566374404</v>
      </c>
      <c r="D63" s="40">
        <f t="shared" si="43"/>
        <v>6.0448951184487572E-2</v>
      </c>
      <c r="E63" s="40">
        <f t="shared" si="43"/>
        <v>0.11859093007207133</v>
      </c>
      <c r="F63" s="40">
        <f t="shared" si="43"/>
        <v>9.2837313707086214E-2</v>
      </c>
      <c r="G63" s="40">
        <f t="shared" si="43"/>
        <v>9.7779859890325505E-2</v>
      </c>
      <c r="H63" s="40">
        <f t="shared" si="43"/>
        <v>0.14794019302002018</v>
      </c>
      <c r="I63" s="40">
        <f t="shared" si="43"/>
        <v>0.11950099305070166</v>
      </c>
      <c r="J63" s="40">
        <f t="shared" si="43"/>
        <v>9.0314551477699082E-2</v>
      </c>
      <c r="K63" s="40">
        <f t="shared" si="43"/>
        <v>0.14199590177183433</v>
      </c>
      <c r="L63" s="40">
        <f t="shared" si="43"/>
        <v>0.13727950142344736</v>
      </c>
      <c r="M63" s="40">
        <f t="shared" si="43"/>
        <v>0.12551697093603642</v>
      </c>
      <c r="N63" s="40">
        <f t="shared" si="43"/>
        <v>5.876989185266189E-2</v>
      </c>
      <c r="O63" s="40">
        <f t="shared" si="43"/>
        <v>6.5953231317677483E-2</v>
      </c>
      <c r="P63" s="40">
        <f t="shared" si="43"/>
        <v>4.2587144188514746E-2</v>
      </c>
      <c r="Q63" s="40">
        <f t="shared" si="43"/>
        <v>2.2728371846992099E-2</v>
      </c>
      <c r="R63" s="40">
        <f t="shared" si="43"/>
        <v>2.7658941913864307E-2</v>
      </c>
      <c r="S63" s="40">
        <f t="shared" si="43"/>
        <v>0.13309348323131082</v>
      </c>
      <c r="T63" s="40">
        <f t="shared" si="43"/>
        <v>4.8235414685876457E-2</v>
      </c>
      <c r="U63" s="40">
        <f t="shared" si="43"/>
        <v>6.0321342248126075E-2</v>
      </c>
      <c r="V63" s="40">
        <f t="shared" si="43"/>
        <v>5.4717137549480314E-2</v>
      </c>
      <c r="W63" s="40">
        <f t="shared" si="43"/>
        <v>5.4295025049332681E-2</v>
      </c>
    </row>
    <row r="64" spans="1:23" x14ac:dyDescent="0.15">
      <c r="A64" s="1" t="s">
        <v>133</v>
      </c>
      <c r="B64" s="40">
        <f t="shared" ref="B64:W64" si="44">SUM(B7:B8)/B57</f>
        <v>0.2668944481225764</v>
      </c>
      <c r="C64" s="40">
        <f t="shared" si="44"/>
        <v>0.30684125519150901</v>
      </c>
      <c r="D64" s="40">
        <f t="shared" si="44"/>
        <v>0.51851835537270174</v>
      </c>
      <c r="E64" s="40">
        <f t="shared" si="44"/>
        <v>0.47821179008367953</v>
      </c>
      <c r="F64" s="40">
        <f t="shared" si="44"/>
        <v>0.44177430809036417</v>
      </c>
      <c r="G64" s="40">
        <f t="shared" si="44"/>
        <v>0.49987348747711285</v>
      </c>
      <c r="H64" s="40">
        <f t="shared" si="44"/>
        <v>0.53995603578661944</v>
      </c>
      <c r="I64" s="40">
        <f t="shared" si="44"/>
        <v>0.58168878671223301</v>
      </c>
      <c r="J64" s="40">
        <f t="shared" si="44"/>
        <v>0.62228781262078592</v>
      </c>
      <c r="K64" s="40">
        <f t="shared" si="44"/>
        <v>0.54958332552789702</v>
      </c>
      <c r="L64" s="40">
        <f t="shared" si="44"/>
        <v>0.54052175678002656</v>
      </c>
      <c r="M64" s="40">
        <f t="shared" si="44"/>
        <v>0.59416475201875807</v>
      </c>
      <c r="N64" s="40">
        <f t="shared" si="44"/>
        <v>0.62291037703192487</v>
      </c>
      <c r="O64" s="40">
        <f t="shared" si="44"/>
        <v>0.67064111488816536</v>
      </c>
      <c r="P64" s="40">
        <f t="shared" si="44"/>
        <v>0.72831364452083602</v>
      </c>
      <c r="Q64" s="40">
        <f t="shared" si="44"/>
        <v>0.69367161114741382</v>
      </c>
      <c r="R64" s="40">
        <f t="shared" si="44"/>
        <v>0.82494533402749837</v>
      </c>
      <c r="S64" s="40">
        <f t="shared" si="44"/>
        <v>0.70262672586945096</v>
      </c>
      <c r="T64" s="40">
        <f t="shared" si="44"/>
        <v>0.76208486988088664</v>
      </c>
      <c r="U64" s="40">
        <f t="shared" si="44"/>
        <v>0.56000060211229608</v>
      </c>
      <c r="V64" s="40">
        <f t="shared" si="44"/>
        <v>0.82303307078867571</v>
      </c>
      <c r="W64" s="40">
        <f t="shared" si="44"/>
        <v>0.84845900965069521</v>
      </c>
    </row>
    <row r="65" spans="1:23" x14ac:dyDescent="0.15">
      <c r="A65" s="1" t="s">
        <v>134</v>
      </c>
      <c r="B65" s="40">
        <f t="shared" ref="B65:W65" si="45">B9/B57</f>
        <v>0.27564314764021564</v>
      </c>
      <c r="C65" s="40">
        <f t="shared" si="45"/>
        <v>0.295542993385633</v>
      </c>
      <c r="D65" s="40">
        <f t="shared" si="45"/>
        <v>0.28596410857288851</v>
      </c>
      <c r="E65" s="40">
        <f t="shared" si="45"/>
        <v>0.27927297987761129</v>
      </c>
      <c r="F65" s="40">
        <f t="shared" si="45"/>
        <v>0.24080392127650066</v>
      </c>
      <c r="G65" s="40">
        <f t="shared" si="45"/>
        <v>0.22911914425496763</v>
      </c>
      <c r="H65" s="40">
        <f t="shared" si="45"/>
        <v>0.2181310715774713</v>
      </c>
      <c r="I65" s="40">
        <f t="shared" si="45"/>
        <v>0.20573117076879921</v>
      </c>
      <c r="J65" s="40">
        <f t="shared" si="45"/>
        <v>0.22400989745882777</v>
      </c>
      <c r="K65" s="40">
        <f t="shared" si="45"/>
        <v>0.21722440513004704</v>
      </c>
      <c r="L65" s="40">
        <f t="shared" si="45"/>
        <v>0.18808088812596471</v>
      </c>
      <c r="M65" s="40">
        <f t="shared" si="45"/>
        <v>0.15687640408885339</v>
      </c>
      <c r="N65" s="40">
        <f t="shared" si="45"/>
        <v>0.10044038080427575</v>
      </c>
      <c r="O65" s="40">
        <f t="shared" si="45"/>
        <v>8.9523608295539001E-2</v>
      </c>
      <c r="P65" s="40">
        <f t="shared" si="45"/>
        <v>8.2325849317420915E-2</v>
      </c>
      <c r="Q65" s="40">
        <f t="shared" si="45"/>
        <v>0.10930984093172416</v>
      </c>
      <c r="R65" s="40">
        <f t="shared" si="45"/>
        <v>9.9936621109543572E-2</v>
      </c>
      <c r="S65" s="40">
        <f t="shared" si="45"/>
        <v>8.5983849972869245E-2</v>
      </c>
      <c r="T65" s="40">
        <f t="shared" si="45"/>
        <v>7.3890484316142063E-2</v>
      </c>
      <c r="U65" s="40">
        <f t="shared" si="45"/>
        <v>0.17132172087507441</v>
      </c>
      <c r="V65" s="40">
        <f t="shared" si="45"/>
        <v>0.11407856663348688</v>
      </c>
      <c r="W65" s="40">
        <f t="shared" si="45"/>
        <v>9.6098350620479153E-2</v>
      </c>
    </row>
    <row r="66" spans="1:23" x14ac:dyDescent="0.15">
      <c r="A66" s="1" t="s">
        <v>135</v>
      </c>
      <c r="B66" s="40">
        <f t="shared" ref="B66:W66" si="46">B10/B57</f>
        <v>0.23075680191683218</v>
      </c>
      <c r="C66" s="40">
        <f t="shared" si="46"/>
        <v>0.17662667281956623</v>
      </c>
      <c r="D66" s="40">
        <f t="shared" si="46"/>
        <v>6.6822895100829005E-2</v>
      </c>
      <c r="E66" s="40">
        <f t="shared" si="46"/>
        <v>6.0024404623167937E-2</v>
      </c>
      <c r="F66" s="40">
        <f t="shared" si="46"/>
        <v>0.16282534527197151</v>
      </c>
      <c r="G66" s="40">
        <f t="shared" si="46"/>
        <v>0.11502518871126841</v>
      </c>
      <c r="H66" s="40">
        <f t="shared" si="46"/>
        <v>3.4742898057130697E-2</v>
      </c>
      <c r="I66" s="40">
        <f t="shared" si="46"/>
        <v>3.7651228747714122E-2</v>
      </c>
      <c r="J66" s="40">
        <f t="shared" si="46"/>
        <v>1.4705699072485015E-2</v>
      </c>
      <c r="K66" s="40">
        <f t="shared" si="46"/>
        <v>4.7637189114281039E-2</v>
      </c>
      <c r="L66" s="40">
        <f t="shared" si="46"/>
        <v>8.9503043819031416E-2</v>
      </c>
      <c r="M66" s="40">
        <f t="shared" si="46"/>
        <v>9.8176646143499954E-2</v>
      </c>
      <c r="N66" s="40">
        <f t="shared" si="46"/>
        <v>0.19696237349696954</v>
      </c>
      <c r="O66" s="40">
        <f t="shared" si="46"/>
        <v>0.15645793423877813</v>
      </c>
      <c r="P66" s="40">
        <f t="shared" si="46"/>
        <v>0.12991245656573444</v>
      </c>
      <c r="Q66" s="40">
        <f t="shared" si="46"/>
        <v>0.16074371161693624</v>
      </c>
      <c r="R66" s="40">
        <f t="shared" si="46"/>
        <v>3.5676305976789002E-2</v>
      </c>
      <c r="S66" s="40">
        <f t="shared" si="46"/>
        <v>6.6123034860798624E-2</v>
      </c>
      <c r="T66" s="40">
        <f t="shared" si="46"/>
        <v>0.10342517110537167</v>
      </c>
      <c r="U66" s="40">
        <f t="shared" si="46"/>
        <v>0.19711014579344235</v>
      </c>
      <c r="V66" s="40">
        <f t="shared" si="46"/>
        <v>0</v>
      </c>
      <c r="W66" s="40">
        <f t="shared" si="46"/>
        <v>0</v>
      </c>
    </row>
    <row r="67" spans="1:23" x14ac:dyDescent="0.15">
      <c r="A67" s="1" t="s">
        <v>136</v>
      </c>
      <c r="B67" s="40">
        <f t="shared" ref="B67:W67" si="47">B11/B57</f>
        <v>7.9672278445096001E-2</v>
      </c>
      <c r="C67" s="40">
        <f t="shared" si="47"/>
        <v>7.8057221965851409E-2</v>
      </c>
      <c r="D67" s="40">
        <f t="shared" si="47"/>
        <v>6.8245689769093204E-2</v>
      </c>
      <c r="E67" s="40">
        <f t="shared" si="47"/>
        <v>6.3899895343469931E-2</v>
      </c>
      <c r="F67" s="40">
        <f t="shared" si="47"/>
        <v>6.1759111654077464E-2</v>
      </c>
      <c r="G67" s="40">
        <f t="shared" si="47"/>
        <v>5.8202319666325608E-2</v>
      </c>
      <c r="H67" s="40">
        <f t="shared" si="47"/>
        <v>5.9229801558758365E-2</v>
      </c>
      <c r="I67" s="40">
        <f t="shared" si="47"/>
        <v>5.5427820720551996E-2</v>
      </c>
      <c r="J67" s="40">
        <f t="shared" si="47"/>
        <v>4.8682039370202219E-2</v>
      </c>
      <c r="K67" s="40">
        <f t="shared" si="47"/>
        <v>4.3559178455940525E-2</v>
      </c>
      <c r="L67" s="40">
        <f t="shared" si="47"/>
        <v>4.4614809851530005E-2</v>
      </c>
      <c r="M67" s="40">
        <f t="shared" si="47"/>
        <v>2.5265226812852169E-2</v>
      </c>
      <c r="N67" s="40">
        <f t="shared" si="47"/>
        <v>2.0916976814167938E-2</v>
      </c>
      <c r="O67" s="40">
        <f t="shared" si="47"/>
        <v>1.7424111259840079E-2</v>
      </c>
      <c r="P67" s="40">
        <f t="shared" si="47"/>
        <v>1.6860905407493829E-2</v>
      </c>
      <c r="Q67" s="40">
        <f t="shared" si="47"/>
        <v>1.3546464456933678E-2</v>
      </c>
      <c r="R67" s="40">
        <f t="shared" si="47"/>
        <v>1.1782796972304797E-2</v>
      </c>
      <c r="S67" s="40">
        <f t="shared" si="47"/>
        <v>1.2172906065570399E-2</v>
      </c>
      <c r="T67" s="40">
        <f t="shared" si="47"/>
        <v>1.236406001172319E-2</v>
      </c>
      <c r="U67" s="40">
        <f t="shared" si="47"/>
        <v>1.1246188971061053E-2</v>
      </c>
      <c r="V67" s="40">
        <f t="shared" si="47"/>
        <v>8.1712250283571385E-3</v>
      </c>
      <c r="W67" s="40">
        <f t="shared" si="47"/>
        <v>1.1476146794929456E-3</v>
      </c>
    </row>
    <row r="68" spans="1:23" x14ac:dyDescent="0.15">
      <c r="A68" s="1" t="s">
        <v>137</v>
      </c>
      <c r="B68" s="41">
        <f t="shared" ref="B68:J68" si="48">SUM(B63:B67)</f>
        <v>1.0000000000000002</v>
      </c>
      <c r="C68" s="41">
        <f t="shared" si="48"/>
        <v>1</v>
      </c>
      <c r="D68" s="41">
        <f t="shared" si="48"/>
        <v>0.99999999999999989</v>
      </c>
      <c r="E68" s="41">
        <f t="shared" si="48"/>
        <v>1</v>
      </c>
      <c r="F68" s="41">
        <f t="shared" si="48"/>
        <v>1</v>
      </c>
      <c r="G68" s="41">
        <f t="shared" si="48"/>
        <v>1</v>
      </c>
      <c r="H68" s="41">
        <f t="shared" si="48"/>
        <v>0.99999999999999989</v>
      </c>
      <c r="I68" s="41">
        <f t="shared" si="48"/>
        <v>1</v>
      </c>
      <c r="J68" s="41">
        <f t="shared" si="48"/>
        <v>0.99999999999999989</v>
      </c>
      <c r="K68" s="41">
        <f t="shared" ref="K68:M68" si="49">SUM(K63:K67)</f>
        <v>0.99999999999999989</v>
      </c>
      <c r="L68" s="41">
        <f t="shared" si="49"/>
        <v>1</v>
      </c>
      <c r="M68" s="41">
        <f t="shared" si="49"/>
        <v>1</v>
      </c>
      <c r="N68" s="41">
        <f t="shared" ref="N68:W68" si="50">SUM(N63:N67)</f>
        <v>1</v>
      </c>
      <c r="O68" s="41">
        <f t="shared" si="50"/>
        <v>1</v>
      </c>
      <c r="P68" s="41">
        <f t="shared" si="50"/>
        <v>1</v>
      </c>
      <c r="Q68" s="41">
        <f t="shared" si="50"/>
        <v>0.99999999999999989</v>
      </c>
      <c r="R68" s="41">
        <f t="shared" si="50"/>
        <v>1</v>
      </c>
      <c r="S68" s="41">
        <f t="shared" si="50"/>
        <v>1</v>
      </c>
      <c r="T68" s="41">
        <f t="shared" si="50"/>
        <v>1</v>
      </c>
      <c r="U68" s="41">
        <f t="shared" si="50"/>
        <v>0.99999999999999989</v>
      </c>
      <c r="V68" s="41">
        <f t="shared" si="50"/>
        <v>1</v>
      </c>
      <c r="W68" s="41">
        <f t="shared" si="50"/>
        <v>1</v>
      </c>
    </row>
    <row r="69" spans="1:23" x14ac:dyDescent="0.15">
      <c r="M69" s="1"/>
    </row>
    <row r="70" spans="1:23" x14ac:dyDescent="0.15">
      <c r="A70" s="2" t="s">
        <v>125</v>
      </c>
      <c r="B70" s="2"/>
      <c r="C70" s="2"/>
      <c r="D70" s="2"/>
      <c r="E70" s="2"/>
      <c r="F70" s="2"/>
      <c r="G70" s="2"/>
      <c r="H70" s="2"/>
      <c r="I70" s="2"/>
      <c r="J70" s="2"/>
      <c r="K70" s="2"/>
      <c r="L70" s="2"/>
      <c r="M70" s="2"/>
    </row>
    <row r="71" spans="1:23" x14ac:dyDescent="0.15">
      <c r="A71" s="1" t="s">
        <v>126</v>
      </c>
      <c r="B71" s="40">
        <f t="shared" ref="B71:J71" si="51">B13/B24</f>
        <v>0.11361248732479286</v>
      </c>
      <c r="C71" s="40">
        <f t="shared" si="51"/>
        <v>0.11212472246355826</v>
      </c>
      <c r="D71" s="40">
        <f t="shared" si="51"/>
        <v>4.8504020500132541E-2</v>
      </c>
      <c r="E71" s="40">
        <f t="shared" si="51"/>
        <v>9.8331520729992836E-2</v>
      </c>
      <c r="F71" s="40">
        <f t="shared" si="51"/>
        <v>7.653069579314524E-2</v>
      </c>
      <c r="G71" s="40">
        <f t="shared" si="51"/>
        <v>8.1211023332466728E-2</v>
      </c>
      <c r="H71" s="40">
        <f t="shared" si="51"/>
        <v>0.12199135624952842</v>
      </c>
      <c r="I71" s="40">
        <f t="shared" si="51"/>
        <v>0.10301559654573851</v>
      </c>
      <c r="J71" s="40">
        <f t="shared" si="51"/>
        <v>7.991606813620393E-2</v>
      </c>
      <c r="K71" s="40">
        <f t="shared" ref="K71:M71" si="52">K13/K24</f>
        <v>0.12547016073045775</v>
      </c>
      <c r="L71" s="40">
        <f t="shared" si="52"/>
        <v>0.12104599047980216</v>
      </c>
      <c r="M71" s="40">
        <f t="shared" si="52"/>
        <v>0.11422153430297685</v>
      </c>
      <c r="N71" s="40">
        <f t="shared" ref="N71:W71" si="53">N13/N24</f>
        <v>5.2884722573486254E-2</v>
      </c>
      <c r="O71" s="40">
        <f t="shared" si="53"/>
        <v>5.9641862580867892E-2</v>
      </c>
      <c r="P71" s="40">
        <f t="shared" si="53"/>
        <v>3.6859093298134249E-2</v>
      </c>
      <c r="Q71" s="40">
        <f t="shared" si="53"/>
        <v>2.0052883400308547E-2</v>
      </c>
      <c r="R71" s="40">
        <f t="shared" si="53"/>
        <v>2.4097821086315318E-2</v>
      </c>
      <c r="S71" s="40">
        <f t="shared" si="53"/>
        <v>0.11370987196478273</v>
      </c>
      <c r="T71" s="40">
        <f t="shared" si="53"/>
        <v>4.1757917039619619E-2</v>
      </c>
      <c r="U71" s="40">
        <f t="shared" si="53"/>
        <v>5.1012875641307985E-2</v>
      </c>
      <c r="V71" s="40">
        <f t="shared" si="53"/>
        <v>4.4684410790505627E-2</v>
      </c>
      <c r="W71" s="40">
        <f t="shared" si="53"/>
        <v>4.371891363819555E-2</v>
      </c>
    </row>
    <row r="72" spans="1:23" x14ac:dyDescent="0.15">
      <c r="A72" s="1" t="s">
        <v>127</v>
      </c>
      <c r="B72" s="40">
        <f t="shared" ref="B72:J72" si="54">(B7+B8)/B24</f>
        <v>0.20622904594134539</v>
      </c>
      <c r="C72" s="40">
        <f t="shared" si="54"/>
        <v>0.2407055459021141</v>
      </c>
      <c r="D72" s="40">
        <f t="shared" si="54"/>
        <v>0.41605725899089863</v>
      </c>
      <c r="E72" s="40">
        <f t="shared" si="54"/>
        <v>0.39651677005452968</v>
      </c>
      <c r="F72" s="40">
        <f t="shared" si="54"/>
        <v>0.36417787020813203</v>
      </c>
      <c r="G72" s="40">
        <f t="shared" si="54"/>
        <v>0.41516972411618158</v>
      </c>
      <c r="H72" s="40">
        <f t="shared" si="54"/>
        <v>0.44524728389271928</v>
      </c>
      <c r="I72" s="40">
        <f t="shared" si="54"/>
        <v>0.50144367705549953</v>
      </c>
      <c r="J72" s="40">
        <f t="shared" si="54"/>
        <v>0.5506398960084723</v>
      </c>
      <c r="K72" s="40">
        <f t="shared" ref="K72:M72" si="55">(K7+K8)/K24</f>
        <v>0.48562181956185568</v>
      </c>
      <c r="L72" s="40">
        <f t="shared" si="55"/>
        <v>0.47660423258316059</v>
      </c>
      <c r="M72" s="40">
        <f t="shared" si="55"/>
        <v>0.5406950876699782</v>
      </c>
      <c r="N72" s="40">
        <f t="shared" ref="N72:W72" si="56">(N7+N8)/N24</f>
        <v>0.56053263735905612</v>
      </c>
      <c r="O72" s="40">
        <f t="shared" si="56"/>
        <v>0.6064643750748151</v>
      </c>
      <c r="P72" s="40">
        <f t="shared" si="56"/>
        <v>0.63035409124562658</v>
      </c>
      <c r="Q72" s="40">
        <f t="shared" si="56"/>
        <v>0.6120155033579382</v>
      </c>
      <c r="R72" s="40">
        <f t="shared" si="56"/>
        <v>0.71873266617695719</v>
      </c>
      <c r="S72" s="40">
        <f t="shared" si="56"/>
        <v>0.60029682218771463</v>
      </c>
      <c r="T72" s="40">
        <f t="shared" si="56"/>
        <v>0.65974506451073001</v>
      </c>
      <c r="U72" s="40">
        <f t="shared" si="56"/>
        <v>0.47358430714461791</v>
      </c>
      <c r="V72" s="40">
        <f t="shared" si="56"/>
        <v>0.67212484929489469</v>
      </c>
      <c r="W72" s="40">
        <f t="shared" si="56"/>
        <v>0.68318793728825389</v>
      </c>
    </row>
    <row r="73" spans="1:23" x14ac:dyDescent="0.15">
      <c r="A73" s="1" t="s">
        <v>131</v>
      </c>
      <c r="B73" s="40">
        <f t="shared" ref="B73:J73" si="57">B9/B24</f>
        <v>0.21298915641738506</v>
      </c>
      <c r="C73" s="40">
        <f t="shared" si="57"/>
        <v>0.23184247996910898</v>
      </c>
      <c r="D73" s="40">
        <f t="shared" si="57"/>
        <v>0.2294565697623045</v>
      </c>
      <c r="E73" s="40">
        <f t="shared" si="57"/>
        <v>0.23156355037837306</v>
      </c>
      <c r="F73" s="40">
        <f t="shared" si="57"/>
        <v>0.19850737714313788</v>
      </c>
      <c r="G73" s="40">
        <f t="shared" si="57"/>
        <v>0.190294813173955</v>
      </c>
      <c r="H73" s="40">
        <f t="shared" si="57"/>
        <v>0.17987069449272411</v>
      </c>
      <c r="I73" s="40">
        <f t="shared" si="57"/>
        <v>0.17735015202600954</v>
      </c>
      <c r="J73" s="40">
        <f t="shared" si="57"/>
        <v>0.19821822658250354</v>
      </c>
      <c r="K73" s="40">
        <f t="shared" ref="K73:M73" si="58">K9/K24</f>
        <v>0.19194343418474127</v>
      </c>
      <c r="L73" s="40">
        <f t="shared" si="58"/>
        <v>0.16584003552943957</v>
      </c>
      <c r="M73" s="40">
        <f t="shared" si="58"/>
        <v>0.1427588909876896</v>
      </c>
      <c r="N73" s="40">
        <f t="shared" ref="N73:W73" si="59">N9/N24</f>
        <v>9.038236257650778E-2</v>
      </c>
      <c r="O73" s="40">
        <f t="shared" si="59"/>
        <v>8.0956681530702693E-2</v>
      </c>
      <c r="P73" s="40">
        <f t="shared" si="59"/>
        <v>7.1252867940774414E-2</v>
      </c>
      <c r="Q73" s="40">
        <f t="shared" si="59"/>
        <v>9.6442345693153048E-2</v>
      </c>
      <c r="R73" s="40">
        <f t="shared" si="59"/>
        <v>8.7069665317222544E-2</v>
      </c>
      <c r="S73" s="40">
        <f t="shared" si="59"/>
        <v>7.3461241933699115E-2</v>
      </c>
      <c r="T73" s="40">
        <f t="shared" si="59"/>
        <v>6.3967786618702518E-2</v>
      </c>
      <c r="U73" s="40">
        <f t="shared" si="59"/>
        <v>0.14488427007650931</v>
      </c>
      <c r="V73" s="40">
        <f t="shared" si="59"/>
        <v>9.3161553438959294E-2</v>
      </c>
      <c r="W73" s="40">
        <f t="shared" si="59"/>
        <v>7.7379382139200259E-2</v>
      </c>
    </row>
    <row r="74" spans="1:23" x14ac:dyDescent="0.15">
      <c r="A74" s="1" t="s">
        <v>128</v>
      </c>
      <c r="B74" s="40">
        <f>B28/B24</f>
        <v>0.11073791782507149</v>
      </c>
      <c r="C74" s="40">
        <f t="shared" ref="C74:J74" si="60">C28/C24</f>
        <v>0.11087580847572159</v>
      </c>
      <c r="D74" s="40">
        <f t="shared" si="60"/>
        <v>0.11870283644075284</v>
      </c>
      <c r="E74" s="40">
        <f t="shared" si="60"/>
        <v>0.11873372920085035</v>
      </c>
      <c r="F74" s="40">
        <f t="shared" si="60"/>
        <v>0.12989421455123062</v>
      </c>
      <c r="G74" s="40">
        <f t="shared" si="60"/>
        <v>0.13981198134886233</v>
      </c>
      <c r="H74" s="40">
        <f t="shared" si="60"/>
        <v>0.15421197523407656</v>
      </c>
      <c r="I74" s="40">
        <f t="shared" si="60"/>
        <v>0.17864805939432435</v>
      </c>
      <c r="J74" s="40">
        <f t="shared" si="60"/>
        <v>0.18520069838695075</v>
      </c>
      <c r="K74" s="40">
        <f t="shared" ref="K74:M74" si="61">K28/K24</f>
        <v>0.18777964882401721</v>
      </c>
      <c r="L74" s="40">
        <f t="shared" si="61"/>
        <v>0.22730567633193344</v>
      </c>
      <c r="M74" s="40">
        <f t="shared" si="61"/>
        <v>0.24054424991461204</v>
      </c>
      <c r="N74" s="40">
        <f t="shared" ref="N74:W74" si="62">N28/N24</f>
        <v>0.24887519244017048</v>
      </c>
      <c r="O74" s="40">
        <f t="shared" si="62"/>
        <v>0.26968940249175799</v>
      </c>
      <c r="P74" s="40">
        <f t="shared" si="62"/>
        <v>0.28055561537805707</v>
      </c>
      <c r="Q74" s="40">
        <f t="shared" si="62"/>
        <v>0.24708902729586971</v>
      </c>
      <c r="R74" s="40">
        <f t="shared" si="62"/>
        <v>0.2571553192347148</v>
      </c>
      <c r="S74" s="40">
        <f t="shared" si="62"/>
        <v>0.27132081748105308</v>
      </c>
      <c r="T74" s="40">
        <f t="shared" si="62"/>
        <v>0.28132267634996716</v>
      </c>
      <c r="U74" s="40">
        <f t="shared" si="62"/>
        <v>0.29889975806248781</v>
      </c>
      <c r="V74" s="40">
        <f t="shared" si="62"/>
        <v>0.30282212020712512</v>
      </c>
      <c r="W74" s="40">
        <f t="shared" si="62"/>
        <v>0.30561224271821158</v>
      </c>
    </row>
    <row r="75" spans="1:23" x14ac:dyDescent="0.15">
      <c r="A75" s="1" t="s">
        <v>129</v>
      </c>
      <c r="B75" s="40">
        <v>0</v>
      </c>
      <c r="C75" s="40">
        <v>0</v>
      </c>
      <c r="D75" s="40">
        <v>0</v>
      </c>
      <c r="E75" s="40">
        <v>0</v>
      </c>
      <c r="F75" s="40">
        <v>0</v>
      </c>
      <c r="G75" s="40">
        <v>0</v>
      </c>
      <c r="H75" s="40">
        <v>0</v>
      </c>
      <c r="I75" s="40">
        <v>0</v>
      </c>
      <c r="J75" s="40">
        <v>0</v>
      </c>
      <c r="K75" s="40">
        <v>0</v>
      </c>
      <c r="L75" s="40">
        <v>0</v>
      </c>
      <c r="M75" s="40">
        <v>0</v>
      </c>
      <c r="N75" s="40">
        <v>0</v>
      </c>
      <c r="O75" s="40">
        <v>0</v>
      </c>
      <c r="P75" s="40">
        <v>0</v>
      </c>
      <c r="Q75" s="40">
        <v>0</v>
      </c>
      <c r="R75" s="40">
        <v>0</v>
      </c>
      <c r="S75" s="40">
        <v>0</v>
      </c>
      <c r="T75" s="40">
        <v>0</v>
      </c>
      <c r="U75" s="40">
        <v>0</v>
      </c>
      <c r="V75" s="40">
        <v>0</v>
      </c>
      <c r="W75" s="40">
        <v>0</v>
      </c>
    </row>
    <row r="76" spans="1:23" x14ac:dyDescent="0.15">
      <c r="A76" s="1" t="s">
        <v>130</v>
      </c>
      <c r="B76" s="40">
        <f>B44/B24</f>
        <v>0.70796018234027713</v>
      </c>
      <c r="C76" s="40">
        <f t="shared" ref="C76:J76" si="63">C44/C24</f>
        <v>0.69108685683946325</v>
      </c>
      <c r="D76" s="40">
        <f t="shared" si="63"/>
        <v>0.70839268357338514</v>
      </c>
      <c r="E76" s="40">
        <f t="shared" si="63"/>
        <v>0.72514996608473892</v>
      </c>
      <c r="F76" s="40">
        <f t="shared" si="63"/>
        <v>0.71904219955131254</v>
      </c>
      <c r="G76" s="40">
        <f t="shared" si="63"/>
        <v>0.71444877421941466</v>
      </c>
      <c r="H76" s="40">
        <f t="shared" si="63"/>
        <v>0.67723569864873789</v>
      </c>
      <c r="I76" s="40">
        <f t="shared" si="63"/>
        <v>0.67449183744356012</v>
      </c>
      <c r="J76" s="40">
        <f t="shared" si="63"/>
        <v>0.69462863440022815</v>
      </c>
      <c r="K76" s="40">
        <f t="shared" ref="K76:M76" si="64">K44/K24</f>
        <v>0.68007540457486448</v>
      </c>
      <c r="L76" s="40">
        <f t="shared" si="64"/>
        <v>0.66682200791729673</v>
      </c>
      <c r="M76" s="40">
        <f t="shared" si="64"/>
        <v>0.67430501650297769</v>
      </c>
      <c r="N76" s="40">
        <f t="shared" ref="N76:W76" si="65">N44/N24</f>
        <v>0.67712523811553471</v>
      </c>
      <c r="O76" s="40">
        <f t="shared" si="65"/>
        <v>0.66421226546036671</v>
      </c>
      <c r="P76" s="40">
        <f t="shared" si="65"/>
        <v>0.6424928657019352</v>
      </c>
      <c r="Q76" s="40">
        <f t="shared" si="65"/>
        <v>0.66342043920433791</v>
      </c>
      <c r="R76" s="40">
        <f t="shared" si="65"/>
        <v>0.66386613380111925</v>
      </c>
      <c r="S76" s="40">
        <f t="shared" si="65"/>
        <v>0.65615515991994744</v>
      </c>
      <c r="T76" s="40">
        <f t="shared" si="65"/>
        <v>0.64059856581095287</v>
      </c>
      <c r="U76" s="40">
        <f t="shared" si="65"/>
        <v>0.6289201455719754</v>
      </c>
      <c r="V76" s="40">
        <f t="shared" si="65"/>
        <v>0.62228213602571147</v>
      </c>
      <c r="W76" s="40">
        <f t="shared" si="65"/>
        <v>0.63047503763188961</v>
      </c>
    </row>
    <row r="77" spans="1:23" x14ac:dyDescent="0.15">
      <c r="A77" s="1" t="s">
        <v>178</v>
      </c>
      <c r="B77" s="40">
        <f t="shared" ref="B77:J77" si="66">B12/B24</f>
        <v>0.65908641065539575</v>
      </c>
      <c r="C77" s="40">
        <f t="shared" si="66"/>
        <v>0.67233806351964476</v>
      </c>
      <c r="D77" s="40">
        <f t="shared" si="66"/>
        <v>0.75389237430414424</v>
      </c>
      <c r="E77" s="40">
        <f t="shared" si="66"/>
        <v>0.73083408805841765</v>
      </c>
      <c r="F77" s="40">
        <f t="shared" si="66"/>
        <v>0.74782206429004205</v>
      </c>
      <c r="G77" s="40">
        <f t="shared" si="66"/>
        <v>0.74933857474996901</v>
      </c>
      <c r="H77" s="40">
        <f t="shared" si="66"/>
        <v>0.70260778587150285</v>
      </c>
      <c r="I77" s="40">
        <f t="shared" si="66"/>
        <v>0.75903244101350786</v>
      </c>
      <c r="J77" s="40">
        <f t="shared" si="66"/>
        <v>0.80494763133017955</v>
      </c>
      <c r="K77" s="40">
        <f t="shared" ref="K77:M77" si="67">K12/K24</f>
        <v>0.75814802236379142</v>
      </c>
      <c r="L77" s="40">
        <f t="shared" si="67"/>
        <v>0.76070248052045375</v>
      </c>
      <c r="M77" s="40">
        <f t="shared" si="67"/>
        <v>0.79578715576638648</v>
      </c>
      <c r="N77" s="40">
        <f t="shared" ref="N77:W77" si="68">N12/N24</f>
        <v>0.84697608891260678</v>
      </c>
      <c r="O77" s="40">
        <f t="shared" si="68"/>
        <v>0.84466352760677033</v>
      </c>
      <c r="P77" s="40">
        <f t="shared" si="68"/>
        <v>0.82863902827055069</v>
      </c>
      <c r="Q77" s="40">
        <f t="shared" si="68"/>
        <v>0.86223131783086637</v>
      </c>
      <c r="R77" s="40">
        <f t="shared" si="68"/>
        <v>0.84715101993446351</v>
      </c>
      <c r="S77" s="40">
        <f t="shared" si="68"/>
        <v>0.74065105694080324</v>
      </c>
      <c r="T77" s="40">
        <f t="shared" si="68"/>
        <v>0.82395283327858015</v>
      </c>
      <c r="U77" s="40">
        <f t="shared" si="68"/>
        <v>0.79467247783559913</v>
      </c>
      <c r="V77" s="40">
        <f t="shared" si="68"/>
        <v>0.77195938294044086</v>
      </c>
      <c r="W77" s="40">
        <f t="shared" si="68"/>
        <v>0.76149139059266846</v>
      </c>
    </row>
    <row r="78" spans="1:23" x14ac:dyDescent="0.15">
      <c r="M78" s="1"/>
    </row>
    <row r="79" spans="1:23" x14ac:dyDescent="0.15">
      <c r="M79" s="1"/>
    </row>
    <row r="80" spans="1:23" x14ac:dyDescent="0.15">
      <c r="M80" s="1"/>
    </row>
    <row r="81" spans="13:13" x14ac:dyDescent="0.15">
      <c r="M81" s="1"/>
    </row>
    <row r="82" spans="13:13" x14ac:dyDescent="0.15">
      <c r="M82" s="1"/>
    </row>
    <row r="83" spans="13:13" x14ac:dyDescent="0.15">
      <c r="M83" s="1"/>
    </row>
    <row r="84" spans="13:13" x14ac:dyDescent="0.15">
      <c r="M84" s="1"/>
    </row>
    <row r="85" spans="13:13" x14ac:dyDescent="0.15">
      <c r="M85" s="1"/>
    </row>
    <row r="86" spans="13:13" x14ac:dyDescent="0.15">
      <c r="M86" s="1"/>
    </row>
    <row r="87" spans="13:13" x14ac:dyDescent="0.15">
      <c r="M87" s="1"/>
    </row>
    <row r="88" spans="13:13" x14ac:dyDescent="0.15">
      <c r="M88" s="1"/>
    </row>
    <row r="89" spans="13:13" x14ac:dyDescent="0.15">
      <c r="M89" s="1"/>
    </row>
    <row r="90" spans="13:13" x14ac:dyDescent="0.15">
      <c r="M90" s="1"/>
    </row>
    <row r="91" spans="13:13" x14ac:dyDescent="0.15">
      <c r="M91" s="1"/>
    </row>
  </sheetData>
  <mergeCells count="2">
    <mergeCell ref="B30:N30"/>
    <mergeCell ref="A1:B1"/>
  </mergeCells>
  <pageMargins left="0.7" right="0.7" top="0.75" bottom="0.75" header="0.3" footer="0.3"/>
  <pageSetup orientation="portrait" r:id="rId1"/>
  <ignoredErrors>
    <ignoredError sqref="H64:M64 B64:C64 D64:G64 N64:W64"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90"/>
  <sheetViews>
    <sheetView zoomScale="120" zoomScaleNormal="120" workbookViewId="0">
      <pane ySplit="3" topLeftCell="A4" activePane="bottomLeft" state="frozen"/>
      <selection activeCell="A10" sqref="A10"/>
      <selection pane="bottomLeft" sqref="A1:B1"/>
    </sheetView>
  </sheetViews>
  <sheetFormatPr baseColWidth="10" defaultColWidth="9.1640625" defaultRowHeight="12" x14ac:dyDescent="0.15"/>
  <cols>
    <col min="1" max="1" width="44.1640625" style="1" customWidth="1"/>
    <col min="2" max="23" width="10.33203125" style="1" customWidth="1"/>
    <col min="24" max="16384" width="9.1640625" style="1"/>
  </cols>
  <sheetData>
    <row r="1" spans="1:24" ht="15" x14ac:dyDescent="0.2">
      <c r="A1" s="102" t="s">
        <v>229</v>
      </c>
      <c r="B1" s="102"/>
    </row>
    <row r="2" spans="1:24" x14ac:dyDescent="0.15">
      <c r="A2" s="7" t="s">
        <v>218</v>
      </c>
      <c r="B2" s="7"/>
    </row>
    <row r="3" spans="1:24" x14ac:dyDescent="0.15">
      <c r="A3" s="80"/>
      <c r="B3" s="81" t="s">
        <v>230</v>
      </c>
      <c r="C3" s="82" t="s">
        <v>240</v>
      </c>
      <c r="D3" s="30">
        <v>2021</v>
      </c>
      <c r="E3" s="30">
        <v>2020</v>
      </c>
      <c r="F3" s="30">
        <v>2019</v>
      </c>
      <c r="G3" s="30">
        <v>2018</v>
      </c>
      <c r="H3" s="30">
        <v>2017</v>
      </c>
      <c r="I3" s="30">
        <v>2016</v>
      </c>
      <c r="J3" s="30">
        <v>2015</v>
      </c>
      <c r="K3" s="30">
        <v>2014</v>
      </c>
      <c r="L3" s="30">
        <v>2013</v>
      </c>
      <c r="M3" s="30">
        <v>2012</v>
      </c>
      <c r="N3" s="30">
        <v>2011</v>
      </c>
      <c r="O3" s="30">
        <v>2010</v>
      </c>
      <c r="P3" s="30">
        <v>2009</v>
      </c>
      <c r="Q3" s="30">
        <v>2008</v>
      </c>
      <c r="R3" s="30">
        <v>2007</v>
      </c>
      <c r="S3" s="30">
        <v>2006</v>
      </c>
      <c r="T3" s="30">
        <v>2005</v>
      </c>
      <c r="U3" s="30">
        <v>2004</v>
      </c>
      <c r="V3" s="30">
        <v>2003</v>
      </c>
      <c r="W3" s="30">
        <v>2002</v>
      </c>
      <c r="X3" s="30">
        <v>2001</v>
      </c>
    </row>
    <row r="4" spans="1:24" x14ac:dyDescent="0.15">
      <c r="A4" s="2" t="s">
        <v>1</v>
      </c>
      <c r="B4" s="2"/>
      <c r="C4" s="83"/>
      <c r="D4" s="2"/>
      <c r="E4" s="2"/>
      <c r="F4" s="2"/>
      <c r="G4" s="2"/>
      <c r="H4" s="2"/>
      <c r="I4" s="2"/>
      <c r="J4" s="2"/>
      <c r="K4" s="2"/>
      <c r="L4" s="2"/>
      <c r="M4" s="2"/>
      <c r="N4" s="2"/>
      <c r="O4" s="2"/>
      <c r="P4" s="5"/>
      <c r="Q4" s="5"/>
      <c r="R4" s="5"/>
      <c r="S4" s="5"/>
      <c r="T4" s="5"/>
      <c r="U4" s="5"/>
      <c r="V4" s="5"/>
    </row>
    <row r="5" spans="1:24" x14ac:dyDescent="0.15">
      <c r="A5" s="1" t="s">
        <v>2</v>
      </c>
      <c r="C5" s="84"/>
      <c r="P5" s="5"/>
      <c r="Q5" s="5"/>
      <c r="R5" s="5"/>
      <c r="S5" s="5"/>
      <c r="T5" s="5"/>
      <c r="U5" s="5"/>
      <c r="V5" s="5"/>
    </row>
    <row r="6" spans="1:24" x14ac:dyDescent="0.15">
      <c r="A6" s="1" t="s">
        <v>232</v>
      </c>
      <c r="B6" s="34">
        <v>17418000</v>
      </c>
      <c r="C6" s="85">
        <v>17360000</v>
      </c>
      <c r="D6" s="34">
        <v>68585000</v>
      </c>
      <c r="E6" s="34">
        <v>53204000</v>
      </c>
      <c r="F6" s="34">
        <v>40638000</v>
      </c>
      <c r="G6" s="34">
        <v>41305000</v>
      </c>
      <c r="H6" s="34">
        <v>40405000</v>
      </c>
      <c r="I6" s="34">
        <v>33664000</v>
      </c>
      <c r="J6" s="34">
        <v>28400531</v>
      </c>
      <c r="K6" s="34">
        <v>24057032</v>
      </c>
      <c r="L6" s="34">
        <v>24811602</v>
      </c>
      <c r="M6" s="34">
        <v>23762885</v>
      </c>
      <c r="N6" s="34">
        <v>16485973</v>
      </c>
      <c r="O6" s="5">
        <v>17961144</v>
      </c>
      <c r="P6" s="5">
        <v>21474082</v>
      </c>
      <c r="Q6" s="5">
        <v>24312013</v>
      </c>
      <c r="R6" s="5">
        <v>30093115</v>
      </c>
      <c r="S6" s="5">
        <v>32360571</v>
      </c>
      <c r="T6" s="5">
        <v>34128931</v>
      </c>
      <c r="U6" s="5">
        <v>31581069</v>
      </c>
      <c r="V6" s="5">
        <v>31053105</v>
      </c>
      <c r="W6" s="5">
        <v>24227502</v>
      </c>
      <c r="X6" s="5">
        <v>21226997</v>
      </c>
    </row>
    <row r="7" spans="1:24" x14ac:dyDescent="0.15">
      <c r="A7" s="1" t="s">
        <v>3</v>
      </c>
      <c r="B7" s="34">
        <v>45707000</v>
      </c>
      <c r="C7" s="85">
        <v>44117000</v>
      </c>
      <c r="D7" s="34">
        <v>205300000</v>
      </c>
      <c r="E7" s="34">
        <v>152214000</v>
      </c>
      <c r="F7" s="34">
        <v>105204000</v>
      </c>
      <c r="G7" s="34">
        <v>96820000</v>
      </c>
      <c r="H7" s="34">
        <v>100097000</v>
      </c>
      <c r="I7" s="34">
        <v>88858000</v>
      </c>
      <c r="J7" s="34">
        <v>84075155</v>
      </c>
      <c r="K7" s="34">
        <v>85906524</v>
      </c>
      <c r="L7" s="34">
        <v>89074664</v>
      </c>
      <c r="M7" s="34">
        <v>78568217</v>
      </c>
      <c r="N7" s="34">
        <v>65043360</v>
      </c>
      <c r="O7" s="5">
        <v>43501297</v>
      </c>
      <c r="P7" s="5">
        <v>40681169</v>
      </c>
      <c r="Q7" s="5">
        <v>39350174</v>
      </c>
      <c r="R7" s="5">
        <v>39890874</v>
      </c>
      <c r="S7" s="5">
        <v>37835896</v>
      </c>
      <c r="T7" s="5">
        <v>42393335</v>
      </c>
      <c r="U7" s="5">
        <v>40194088</v>
      </c>
      <c r="V7" s="5">
        <v>52874207</v>
      </c>
      <c r="W7" s="5">
        <v>43071115</v>
      </c>
      <c r="X7" s="5">
        <v>37573548</v>
      </c>
    </row>
    <row r="8" spans="1:24" x14ac:dyDescent="0.15">
      <c r="A8" s="2" t="s">
        <v>17</v>
      </c>
      <c r="B8" s="6">
        <f t="shared" ref="B8:K8" si="0">SUM(B6:B7)</f>
        <v>63125000</v>
      </c>
      <c r="C8" s="86">
        <f t="shared" si="0"/>
        <v>61477000</v>
      </c>
      <c r="D8" s="6">
        <f t="shared" si="0"/>
        <v>273885000</v>
      </c>
      <c r="E8" s="6">
        <f t="shared" si="0"/>
        <v>205418000</v>
      </c>
      <c r="F8" s="6">
        <f t="shared" si="0"/>
        <v>145842000</v>
      </c>
      <c r="G8" s="6">
        <f t="shared" si="0"/>
        <v>138125000</v>
      </c>
      <c r="H8" s="6">
        <f t="shared" si="0"/>
        <v>140502000</v>
      </c>
      <c r="I8" s="6">
        <f t="shared" si="0"/>
        <v>122522000</v>
      </c>
      <c r="J8" s="6">
        <f t="shared" si="0"/>
        <v>112475686</v>
      </c>
      <c r="K8" s="6">
        <f t="shared" si="0"/>
        <v>109963556</v>
      </c>
      <c r="L8" s="6">
        <f t="shared" ref="L8:M8" si="1">SUM(L6:L7)</f>
        <v>113886266</v>
      </c>
      <c r="M8" s="6">
        <f t="shared" si="1"/>
        <v>102331102</v>
      </c>
      <c r="N8" s="6">
        <f>SUM(N6:N7)</f>
        <v>81529333</v>
      </c>
      <c r="O8" s="6">
        <f>SUM(O6:O7)</f>
        <v>61462441</v>
      </c>
      <c r="P8" s="6">
        <f>SUM(P6:P7)</f>
        <v>62155251</v>
      </c>
      <c r="Q8" s="6">
        <f t="shared" ref="Q8:U8" si="2">SUM(Q6:Q7)</f>
        <v>63662187</v>
      </c>
      <c r="R8" s="6">
        <f t="shared" si="2"/>
        <v>69983989</v>
      </c>
      <c r="S8" s="6">
        <f t="shared" si="2"/>
        <v>70196467</v>
      </c>
      <c r="T8" s="6">
        <f t="shared" si="2"/>
        <v>76522266</v>
      </c>
      <c r="U8" s="6">
        <f t="shared" si="2"/>
        <v>71775157</v>
      </c>
      <c r="V8" s="6">
        <f t="shared" ref="V8" si="3">SUM(V6:V7)</f>
        <v>83927312</v>
      </c>
      <c r="W8" s="6">
        <f t="shared" ref="W8:X8" si="4">SUM(W6:W7)</f>
        <v>67298617</v>
      </c>
      <c r="X8" s="6">
        <f t="shared" si="4"/>
        <v>58800545</v>
      </c>
    </row>
    <row r="9" spans="1:24" x14ac:dyDescent="0.15">
      <c r="A9" s="1" t="s">
        <v>237</v>
      </c>
      <c r="B9" s="34">
        <v>5064000</v>
      </c>
      <c r="C9" s="85">
        <v>2798000</v>
      </c>
      <c r="D9" s="34">
        <v>13678000</v>
      </c>
      <c r="E9" s="34">
        <v>8321000</v>
      </c>
      <c r="F9" s="34">
        <v>7474000</v>
      </c>
      <c r="G9" s="34">
        <v>7096000</v>
      </c>
      <c r="H9" s="34">
        <v>6892000</v>
      </c>
      <c r="I9" s="34">
        <v>2532000</v>
      </c>
      <c r="J9" s="34">
        <v>0</v>
      </c>
      <c r="K9" s="34">
        <v>0</v>
      </c>
      <c r="L9" s="34">
        <v>0</v>
      </c>
      <c r="M9" s="34">
        <v>0</v>
      </c>
      <c r="N9" s="34">
        <v>0</v>
      </c>
      <c r="O9" s="34">
        <v>0</v>
      </c>
      <c r="P9" s="34">
        <v>0</v>
      </c>
      <c r="Q9" s="34">
        <v>0</v>
      </c>
      <c r="R9" s="34">
        <v>0</v>
      </c>
      <c r="S9" s="34">
        <v>0</v>
      </c>
      <c r="T9" s="34">
        <v>0</v>
      </c>
      <c r="U9" s="34">
        <v>0</v>
      </c>
      <c r="V9" s="34">
        <v>0</v>
      </c>
      <c r="W9" s="34">
        <v>0</v>
      </c>
      <c r="X9" s="34">
        <v>0</v>
      </c>
    </row>
    <row r="10" spans="1:24" x14ac:dyDescent="0.15">
      <c r="A10" s="1" t="s">
        <v>234</v>
      </c>
      <c r="B10" s="34">
        <v>2426000</v>
      </c>
      <c r="C10" s="85">
        <v>2078000</v>
      </c>
      <c r="D10" s="34">
        <v>9667000</v>
      </c>
      <c r="E10" s="34">
        <v>8693000</v>
      </c>
      <c r="F10" s="34">
        <v>9922000</v>
      </c>
      <c r="G10" s="34">
        <v>7082000</v>
      </c>
      <c r="H10" s="34">
        <v>6128000</v>
      </c>
      <c r="I10" s="34">
        <v>5651000</v>
      </c>
      <c r="J10" s="34">
        <v>0</v>
      </c>
      <c r="K10" s="34">
        <v>0</v>
      </c>
      <c r="L10" s="34">
        <v>0</v>
      </c>
      <c r="M10" s="34">
        <v>0</v>
      </c>
      <c r="N10" s="34">
        <v>0</v>
      </c>
      <c r="O10" s="34">
        <v>0</v>
      </c>
      <c r="P10" s="34">
        <v>0</v>
      </c>
      <c r="Q10" s="34">
        <v>0</v>
      </c>
      <c r="R10" s="34">
        <v>0</v>
      </c>
      <c r="S10" s="34">
        <v>0</v>
      </c>
      <c r="T10" s="34">
        <v>0</v>
      </c>
      <c r="U10" s="34">
        <v>0</v>
      </c>
      <c r="V10" s="34">
        <v>0</v>
      </c>
      <c r="W10" s="34">
        <v>0</v>
      </c>
      <c r="X10" s="34">
        <v>0</v>
      </c>
    </row>
    <row r="11" spans="1:24" x14ac:dyDescent="0.15">
      <c r="A11" s="1" t="s">
        <v>233</v>
      </c>
      <c r="B11" s="34">
        <v>915000</v>
      </c>
      <c r="C11" s="85">
        <v>1016000</v>
      </c>
      <c r="D11" s="34">
        <v>3773000</v>
      </c>
      <c r="E11" s="34">
        <v>4393000</v>
      </c>
      <c r="F11" s="34">
        <v>4752000</v>
      </c>
      <c r="G11" s="34">
        <v>4619000</v>
      </c>
      <c r="H11" s="34">
        <v>4445000</v>
      </c>
      <c r="I11" s="34">
        <v>4684000</v>
      </c>
      <c r="J11" s="34">
        <v>4531319</v>
      </c>
      <c r="K11" s="34">
        <v>4259501</v>
      </c>
      <c r="L11" s="34">
        <v>3894608</v>
      </c>
      <c r="M11" s="34">
        <v>3980411</v>
      </c>
      <c r="N11" s="34">
        <v>3595036</v>
      </c>
      <c r="O11" s="5">
        <v>3671178</v>
      </c>
      <c r="P11" s="5">
        <v>3783116</v>
      </c>
      <c r="Q11" s="5">
        <v>4558735</v>
      </c>
      <c r="R11" s="5">
        <v>5197178</v>
      </c>
      <c r="S11" s="5">
        <v>4326335</v>
      </c>
      <c r="T11" s="5">
        <v>3355767</v>
      </c>
      <c r="U11" s="5">
        <v>2752838</v>
      </c>
      <c r="V11" s="5">
        <v>2691687</v>
      </c>
      <c r="W11" s="5">
        <v>2806808</v>
      </c>
      <c r="X11" s="5">
        <v>2740280</v>
      </c>
    </row>
    <row r="12" spans="1:24" x14ac:dyDescent="0.15">
      <c r="A12" s="1" t="s">
        <v>235</v>
      </c>
      <c r="B12" s="34">
        <v>1337000</v>
      </c>
      <c r="C12" s="85">
        <v>941000</v>
      </c>
      <c r="D12" s="34">
        <v>6920000</v>
      </c>
      <c r="E12" s="34">
        <v>3723000</v>
      </c>
      <c r="F12" s="34">
        <v>3191000</v>
      </c>
      <c r="G12" s="34">
        <v>3107000</v>
      </c>
      <c r="H12" s="34">
        <v>2159000</v>
      </c>
      <c r="I12" s="34">
        <v>1894000</v>
      </c>
      <c r="J12" s="34">
        <v>0</v>
      </c>
      <c r="K12" s="34">
        <v>0</v>
      </c>
      <c r="L12" s="34">
        <v>0</v>
      </c>
      <c r="M12" s="34">
        <v>0</v>
      </c>
      <c r="N12" s="34">
        <v>0</v>
      </c>
      <c r="O12" s="34">
        <v>0</v>
      </c>
      <c r="P12" s="34">
        <v>0</v>
      </c>
      <c r="Q12" s="34">
        <v>0</v>
      </c>
      <c r="R12" s="34">
        <v>0</v>
      </c>
      <c r="S12" s="34">
        <v>0</v>
      </c>
      <c r="T12" s="34">
        <v>0</v>
      </c>
      <c r="U12" s="34">
        <v>0</v>
      </c>
      <c r="V12" s="34">
        <v>0</v>
      </c>
      <c r="W12" s="34">
        <v>0</v>
      </c>
      <c r="X12" s="34">
        <v>0</v>
      </c>
    </row>
    <row r="13" spans="1:24" x14ac:dyDescent="0.15">
      <c r="A13" s="1" t="s">
        <v>18</v>
      </c>
      <c r="B13" s="34">
        <v>1747000</v>
      </c>
      <c r="C13" s="85">
        <v>321000</v>
      </c>
      <c r="D13" s="34">
        <v>1869000</v>
      </c>
      <c r="E13" s="34">
        <v>333000</v>
      </c>
      <c r="F13" s="34">
        <v>1340000</v>
      </c>
      <c r="G13" s="34">
        <v>-110000</v>
      </c>
      <c r="H13" s="34">
        <v>1041000</v>
      </c>
      <c r="I13" s="34">
        <v>768000</v>
      </c>
      <c r="J13" s="34">
        <v>-116163</v>
      </c>
      <c r="K13" s="34">
        <v>268294</v>
      </c>
      <c r="L13" s="34">
        <v>195800</v>
      </c>
      <c r="M13" s="34">
        <v>1066239</v>
      </c>
      <c r="N13" s="34">
        <v>28559</v>
      </c>
      <c r="O13" s="5">
        <v>654674</v>
      </c>
      <c r="P13" s="5">
        <v>-498089</v>
      </c>
      <c r="Q13" s="5">
        <v>-2922376</v>
      </c>
      <c r="R13" s="5">
        <v>921871</v>
      </c>
      <c r="S13" s="5">
        <v>551058</v>
      </c>
      <c r="T13" s="5">
        <v>119015</v>
      </c>
      <c r="U13" s="5">
        <v>93656</v>
      </c>
      <c r="V13" s="5">
        <v>258718</v>
      </c>
      <c r="W13" s="5">
        <v>279301</v>
      </c>
      <c r="X13" s="5">
        <v>11773</v>
      </c>
    </row>
    <row r="14" spans="1:24" x14ac:dyDescent="0.15">
      <c r="A14" s="1" t="s">
        <v>236</v>
      </c>
      <c r="B14" s="34">
        <v>-5915000</v>
      </c>
      <c r="C14" s="85">
        <v>3239000</v>
      </c>
      <c r="D14" s="34">
        <v>14934000</v>
      </c>
      <c r="E14" s="34">
        <v>4904000</v>
      </c>
      <c r="F14" s="34">
        <v>10303000</v>
      </c>
      <c r="G14" s="34">
        <v>-4130000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row>
    <row r="15" spans="1:24" x14ac:dyDescent="0.15">
      <c r="A15" s="1" t="s">
        <v>19</v>
      </c>
      <c r="B15" s="34">
        <v>0</v>
      </c>
      <c r="C15" s="85">
        <v>0</v>
      </c>
      <c r="D15" s="34">
        <v>0</v>
      </c>
      <c r="E15" s="34">
        <v>0</v>
      </c>
      <c r="F15" s="34">
        <v>0</v>
      </c>
      <c r="G15" s="34">
        <v>0</v>
      </c>
      <c r="H15" s="34">
        <v>0</v>
      </c>
      <c r="I15" s="34">
        <v>0</v>
      </c>
      <c r="J15" s="34">
        <v>0</v>
      </c>
      <c r="K15" s="34">
        <v>0</v>
      </c>
      <c r="L15" s="34">
        <v>0</v>
      </c>
      <c r="M15" s="34">
        <v>0</v>
      </c>
      <c r="N15" s="34">
        <v>0</v>
      </c>
      <c r="O15" s="5">
        <v>0</v>
      </c>
      <c r="P15" s="5">
        <v>910828</v>
      </c>
      <c r="Q15" s="5">
        <v>1166141</v>
      </c>
      <c r="R15" s="5">
        <v>4340062</v>
      </c>
      <c r="S15" s="5">
        <v>5980027</v>
      </c>
      <c r="T15" s="5">
        <v>4543049</v>
      </c>
      <c r="U15" s="5">
        <v>2801888</v>
      </c>
      <c r="V15" s="5">
        <v>1245234</v>
      </c>
      <c r="W15" s="5">
        <v>947426</v>
      </c>
      <c r="X15" s="5">
        <v>1018353</v>
      </c>
    </row>
    <row r="16" spans="1:24" x14ac:dyDescent="0.15">
      <c r="A16" s="1" t="s">
        <v>20</v>
      </c>
      <c r="B16" s="34">
        <v>299000</v>
      </c>
      <c r="C16" s="85">
        <v>208000</v>
      </c>
      <c r="D16" s="34">
        <v>4772000</v>
      </c>
      <c r="E16" s="34">
        <v>623000</v>
      </c>
      <c r="F16" s="34">
        <v>678000</v>
      </c>
      <c r="G16" s="34">
        <v>470000</v>
      </c>
      <c r="H16" s="34">
        <v>460000</v>
      </c>
      <c r="I16" s="34">
        <v>437000</v>
      </c>
      <c r="J16" s="34">
        <v>10309230</v>
      </c>
      <c r="K16" s="34">
        <v>8627935</v>
      </c>
      <c r="L16" s="34">
        <v>8274823</v>
      </c>
      <c r="M16" s="34">
        <v>7701340</v>
      </c>
      <c r="N16" s="34">
        <v>5532228</v>
      </c>
      <c r="O16" s="5">
        <v>5521062</v>
      </c>
      <c r="P16" s="5">
        <v>4957054</v>
      </c>
      <c r="Q16" s="5">
        <v>4658574</v>
      </c>
      <c r="R16" s="5">
        <v>4499187</v>
      </c>
      <c r="S16" s="5">
        <v>3607829</v>
      </c>
      <c r="T16" s="5">
        <v>3343781</v>
      </c>
      <c r="U16" s="5">
        <v>2417637</v>
      </c>
      <c r="V16" s="5">
        <v>2706920</v>
      </c>
      <c r="W16" s="5">
        <v>1520188</v>
      </c>
      <c r="X16" s="5">
        <v>1221494</v>
      </c>
    </row>
    <row r="17" spans="1:24" x14ac:dyDescent="0.15">
      <c r="A17" s="2" t="s">
        <v>4</v>
      </c>
      <c r="B17" s="6">
        <f t="shared" ref="B17:K17" si="5">SUM(B8:B16)</f>
        <v>68998000</v>
      </c>
      <c r="C17" s="86">
        <f t="shared" si="5"/>
        <v>72078000</v>
      </c>
      <c r="D17" s="6">
        <f t="shared" si="5"/>
        <v>329498000</v>
      </c>
      <c r="E17" s="6">
        <f t="shared" si="5"/>
        <v>236408000</v>
      </c>
      <c r="F17" s="6">
        <f t="shared" si="5"/>
        <v>183502000</v>
      </c>
      <c r="G17" s="6">
        <f t="shared" si="5"/>
        <v>156259000</v>
      </c>
      <c r="H17" s="6">
        <f t="shared" si="5"/>
        <v>161627000</v>
      </c>
      <c r="I17" s="6">
        <f t="shared" si="5"/>
        <v>138488000</v>
      </c>
      <c r="J17" s="6">
        <f t="shared" si="5"/>
        <v>127200072</v>
      </c>
      <c r="K17" s="6">
        <f t="shared" si="5"/>
        <v>123119286</v>
      </c>
      <c r="L17" s="6">
        <f t="shared" ref="L17:M17" si="6">SUM(L8:L16)</f>
        <v>126251497</v>
      </c>
      <c r="M17" s="6">
        <f t="shared" si="6"/>
        <v>115079092</v>
      </c>
      <c r="N17" s="6">
        <f>SUM(N8:N16)</f>
        <v>90685156</v>
      </c>
      <c r="O17" s="6">
        <f>SUM(O8:O16)</f>
        <v>71309355</v>
      </c>
      <c r="P17" s="6">
        <f>SUM(P8:P16)</f>
        <v>71308160</v>
      </c>
      <c r="Q17" s="6">
        <f>SUM(Q8:Q16)</f>
        <v>71123261</v>
      </c>
      <c r="R17" s="6">
        <f t="shared" ref="R17:X17" si="7">SUM(R8:R16)</f>
        <v>84942287</v>
      </c>
      <c r="S17" s="6">
        <f t="shared" si="7"/>
        <v>84661716</v>
      </c>
      <c r="T17" s="6">
        <f t="shared" si="7"/>
        <v>87883878</v>
      </c>
      <c r="U17" s="6">
        <f t="shared" si="7"/>
        <v>79841176</v>
      </c>
      <c r="V17" s="6">
        <f t="shared" si="7"/>
        <v>90829871</v>
      </c>
      <c r="W17" s="6">
        <f t="shared" si="7"/>
        <v>72852340</v>
      </c>
      <c r="X17" s="6">
        <f t="shared" si="7"/>
        <v>63792445</v>
      </c>
    </row>
    <row r="18" spans="1:24" x14ac:dyDescent="0.15">
      <c r="B18" s="34"/>
      <c r="C18" s="85"/>
      <c r="D18" s="34"/>
      <c r="E18" s="34"/>
      <c r="F18" s="34"/>
      <c r="G18" s="34"/>
      <c r="H18" s="34"/>
      <c r="I18" s="34"/>
      <c r="J18" s="34"/>
      <c r="K18" s="34"/>
      <c r="L18" s="34"/>
      <c r="M18" s="34"/>
      <c r="N18" s="34"/>
      <c r="O18" s="5"/>
      <c r="P18" s="5"/>
      <c r="Q18" s="5"/>
      <c r="R18" s="5"/>
      <c r="S18" s="5"/>
      <c r="T18" s="5"/>
      <c r="U18" s="5"/>
      <c r="V18" s="5"/>
      <c r="W18" s="5"/>
      <c r="X18" s="5"/>
    </row>
    <row r="19" spans="1:24" x14ac:dyDescent="0.15">
      <c r="A19" s="2" t="s">
        <v>5</v>
      </c>
      <c r="B19" s="34"/>
      <c r="C19" s="85"/>
      <c r="D19" s="34"/>
      <c r="E19" s="34"/>
      <c r="F19" s="34"/>
      <c r="G19" s="34"/>
      <c r="H19" s="34"/>
      <c r="I19" s="34"/>
      <c r="J19" s="34"/>
      <c r="K19" s="34"/>
      <c r="L19" s="34"/>
      <c r="M19" s="34"/>
      <c r="N19" s="34"/>
      <c r="O19" s="5"/>
      <c r="P19" s="5"/>
      <c r="Q19" s="5"/>
      <c r="R19" s="5"/>
      <c r="S19" s="5"/>
      <c r="T19" s="5"/>
      <c r="U19" s="5"/>
      <c r="V19" s="5"/>
      <c r="W19" s="5"/>
      <c r="X19" s="5"/>
    </row>
    <row r="20" spans="1:24" x14ac:dyDescent="0.15">
      <c r="A20" s="1" t="s">
        <v>21</v>
      </c>
      <c r="B20" s="34">
        <v>29857000</v>
      </c>
      <c r="C20" s="85">
        <v>30542000</v>
      </c>
      <c r="D20" s="34">
        <v>142815000</v>
      </c>
      <c r="E20" s="34">
        <v>106807000</v>
      </c>
      <c r="F20" s="34">
        <v>72780000</v>
      </c>
      <c r="G20" s="34">
        <v>65775000</v>
      </c>
      <c r="H20" s="34">
        <v>68643000</v>
      </c>
      <c r="I20" s="34">
        <v>63643000</v>
      </c>
      <c r="J20" s="34">
        <v>62174301</v>
      </c>
      <c r="K20" s="34">
        <v>65632353</v>
      </c>
      <c r="L20" s="34">
        <v>67150810</v>
      </c>
      <c r="M20" s="34">
        <v>59427070</v>
      </c>
      <c r="N20" s="34">
        <v>49596250</v>
      </c>
      <c r="O20" s="5">
        <v>31189207</v>
      </c>
      <c r="P20" s="5">
        <v>29254311</v>
      </c>
      <c r="Q20" s="5">
        <v>27717807</v>
      </c>
      <c r="R20" s="5">
        <v>28424960</v>
      </c>
      <c r="S20" s="5">
        <v>26714784</v>
      </c>
      <c r="T20" s="5">
        <v>30309405</v>
      </c>
      <c r="U20" s="5">
        <v>29152645</v>
      </c>
      <c r="V20" s="5">
        <v>39113544</v>
      </c>
      <c r="W20" s="5">
        <v>32006188</v>
      </c>
      <c r="X20" s="5">
        <v>28074489</v>
      </c>
    </row>
    <row r="21" spans="1:24" x14ac:dyDescent="0.15">
      <c r="A21" s="1" t="s">
        <v>22</v>
      </c>
      <c r="B21" s="34">
        <v>176000</v>
      </c>
      <c r="C21" s="85">
        <v>1591000</v>
      </c>
      <c r="D21" s="34">
        <v>5686000</v>
      </c>
      <c r="E21" s="34">
        <v>5204000</v>
      </c>
      <c r="F21" s="34">
        <v>3532000</v>
      </c>
      <c r="G21" s="34">
        <v>-332000</v>
      </c>
      <c r="H21" s="34">
        <v>3311000</v>
      </c>
      <c r="I21" s="34">
        <v>243000</v>
      </c>
      <c r="J21" s="34">
        <v>4478494</v>
      </c>
      <c r="K21" s="34">
        <v>5229716</v>
      </c>
      <c r="L21" s="34">
        <v>-571596</v>
      </c>
      <c r="M21" s="34">
        <v>6072115</v>
      </c>
      <c r="N21" s="34">
        <v>3342427</v>
      </c>
      <c r="O21" s="5">
        <v>4435066</v>
      </c>
      <c r="P21" s="5">
        <v>8465123</v>
      </c>
      <c r="Q21" s="5">
        <v>15206637</v>
      </c>
      <c r="R21" s="5">
        <v>10134719</v>
      </c>
      <c r="S21" s="5">
        <v>7405211</v>
      </c>
      <c r="T21" s="5">
        <v>8164783</v>
      </c>
      <c r="U21" s="5">
        <v>7984339</v>
      </c>
      <c r="V21" s="5">
        <v>9292739</v>
      </c>
      <c r="W21" s="5">
        <v>6871822</v>
      </c>
      <c r="X21" s="5">
        <v>6786263</v>
      </c>
    </row>
    <row r="22" spans="1:24" x14ac:dyDescent="0.15">
      <c r="A22" s="1" t="s">
        <v>239</v>
      </c>
      <c r="B22" s="34">
        <v>21254000</v>
      </c>
      <c r="C22" s="85">
        <v>16153000</v>
      </c>
      <c r="D22" s="34">
        <v>64193000</v>
      </c>
      <c r="E22" s="34">
        <v>51929000</v>
      </c>
      <c r="F22" s="34">
        <v>46058000</v>
      </c>
      <c r="G22" s="34">
        <v>43552000</v>
      </c>
      <c r="H22" s="34">
        <v>39937000</v>
      </c>
      <c r="I22" s="34">
        <v>31479000</v>
      </c>
      <c r="J22" s="34">
        <v>28041213</v>
      </c>
      <c r="K22" s="34">
        <v>25218225</v>
      </c>
      <c r="L22" s="34">
        <v>25386511</v>
      </c>
      <c r="M22" s="34">
        <v>21877186</v>
      </c>
      <c r="N22" s="34">
        <v>18552504</v>
      </c>
      <c r="O22" s="5">
        <v>17695956</v>
      </c>
      <c r="P22" s="5">
        <v>18189483</v>
      </c>
      <c r="Q22" s="5">
        <v>19605500</v>
      </c>
      <c r="R22" s="5">
        <v>20819094</v>
      </c>
      <c r="S22" s="5">
        <v>20036079</v>
      </c>
      <c r="T22" s="5">
        <v>19208112</v>
      </c>
      <c r="U22" s="5">
        <v>16303351</v>
      </c>
      <c r="V22" s="5">
        <v>15644097</v>
      </c>
      <c r="W22" s="5">
        <v>12591736</v>
      </c>
      <c r="X22" s="5">
        <v>10747424</v>
      </c>
    </row>
    <row r="23" spans="1:24" x14ac:dyDescent="0.15">
      <c r="A23" s="1" t="s">
        <v>238</v>
      </c>
      <c r="B23" s="34">
        <v>4368000</v>
      </c>
      <c r="C23" s="85">
        <v>2742000</v>
      </c>
      <c r="D23" s="34">
        <v>13059000</v>
      </c>
      <c r="E23" s="34">
        <v>9951000</v>
      </c>
      <c r="F23" s="34">
        <v>9254000</v>
      </c>
      <c r="G23" s="34">
        <v>8813000</v>
      </c>
      <c r="H23" s="34">
        <v>8172000</v>
      </c>
      <c r="I23" s="34">
        <v>6446000</v>
      </c>
      <c r="J23" s="34">
        <v>5885336</v>
      </c>
      <c r="K23" s="34">
        <v>5049962</v>
      </c>
      <c r="L23" s="34">
        <v>4430220</v>
      </c>
      <c r="M23" s="34">
        <v>3936653</v>
      </c>
      <c r="N23" s="34">
        <v>3722803</v>
      </c>
      <c r="O23" s="5">
        <v>3935563</v>
      </c>
      <c r="P23" s="5">
        <v>4333579</v>
      </c>
      <c r="Q23" s="5">
        <v>5107843</v>
      </c>
      <c r="R23" s="5">
        <v>5590827</v>
      </c>
      <c r="S23" s="5">
        <v>5599382</v>
      </c>
      <c r="T23" s="5">
        <v>5030412</v>
      </c>
      <c r="U23" s="5">
        <v>5384398</v>
      </c>
      <c r="V23" s="5">
        <v>5149386</v>
      </c>
      <c r="W23" s="5">
        <v>4810283</v>
      </c>
      <c r="X23" s="5">
        <v>4911912</v>
      </c>
    </row>
    <row r="24" spans="1:24" x14ac:dyDescent="0.15">
      <c r="A24" s="1" t="s">
        <v>23</v>
      </c>
      <c r="B24" s="103">
        <v>5550000</v>
      </c>
      <c r="C24" s="106">
        <v>3735000</v>
      </c>
      <c r="D24" s="103">
        <v>18813000</v>
      </c>
      <c r="E24" s="103">
        <v>12856000</v>
      </c>
      <c r="F24" s="103">
        <v>12055000</v>
      </c>
      <c r="G24" s="103">
        <v>11382000</v>
      </c>
      <c r="H24" s="103">
        <v>11293000</v>
      </c>
      <c r="I24" s="103">
        <v>8546000</v>
      </c>
      <c r="J24" s="34">
        <v>2373270</v>
      </c>
      <c r="K24" s="34">
        <v>2333491</v>
      </c>
      <c r="L24" s="34">
        <v>2145639</v>
      </c>
      <c r="M24" s="34">
        <v>1887398</v>
      </c>
      <c r="N24" s="34">
        <v>1706834</v>
      </c>
      <c r="O24" s="5">
        <v>1544588</v>
      </c>
      <c r="P24" s="5">
        <v>1398057</v>
      </c>
      <c r="Q24" s="5">
        <v>2104935</v>
      </c>
      <c r="R24" s="5">
        <v>2183853</v>
      </c>
      <c r="S24" s="5">
        <v>2247826</v>
      </c>
      <c r="T24" s="5">
        <v>2001504</v>
      </c>
      <c r="U24" s="5">
        <v>1899315</v>
      </c>
      <c r="V24" s="5">
        <v>1905609</v>
      </c>
      <c r="W24" s="5">
        <v>2161928</v>
      </c>
      <c r="X24" s="5">
        <v>1879224</v>
      </c>
    </row>
    <row r="25" spans="1:24" x14ac:dyDescent="0.15">
      <c r="A25" s="1" t="s">
        <v>24</v>
      </c>
      <c r="B25" s="103"/>
      <c r="C25" s="106"/>
      <c r="D25" s="103"/>
      <c r="E25" s="103"/>
      <c r="F25" s="103"/>
      <c r="G25" s="103"/>
      <c r="H25" s="103"/>
      <c r="I25" s="103"/>
      <c r="J25" s="34">
        <v>732985</v>
      </c>
      <c r="K25" s="34">
        <v>817909</v>
      </c>
      <c r="L25" s="34">
        <v>681935</v>
      </c>
      <c r="M25" s="34">
        <v>846168</v>
      </c>
      <c r="N25" s="34">
        <v>516380</v>
      </c>
      <c r="O25" s="5">
        <v>573075</v>
      </c>
      <c r="P25" s="5">
        <v>571677</v>
      </c>
      <c r="Q25" s="5">
        <v>587235</v>
      </c>
      <c r="R25" s="5">
        <v>531777</v>
      </c>
      <c r="S25" s="5">
        <v>573395</v>
      </c>
      <c r="T25" s="5">
        <v>513153</v>
      </c>
      <c r="U25" s="5">
        <v>453354</v>
      </c>
      <c r="V25" s="5">
        <v>347186</v>
      </c>
      <c r="W25" s="5">
        <v>387594</v>
      </c>
      <c r="X25" s="5">
        <v>287804</v>
      </c>
    </row>
    <row r="26" spans="1:24" x14ac:dyDescent="0.15">
      <c r="A26" s="1" t="s">
        <v>25</v>
      </c>
      <c r="B26" s="103"/>
      <c r="C26" s="106"/>
      <c r="D26" s="103"/>
      <c r="E26" s="103"/>
      <c r="F26" s="103"/>
      <c r="G26" s="103"/>
      <c r="H26" s="103"/>
      <c r="I26" s="103"/>
      <c r="J26" s="34">
        <v>2161571</v>
      </c>
      <c r="K26" s="34">
        <v>1851767</v>
      </c>
      <c r="L26" s="34">
        <v>2558227</v>
      </c>
      <c r="M26" s="34">
        <v>1885760</v>
      </c>
      <c r="N26" s="34">
        <v>1729830</v>
      </c>
      <c r="O26" s="5">
        <v>1279400</v>
      </c>
      <c r="P26" s="5">
        <v>1268301</v>
      </c>
      <c r="Q26" s="5">
        <v>1281297</v>
      </c>
      <c r="R26" s="5">
        <v>1496448</v>
      </c>
      <c r="S26" s="5">
        <v>1348850</v>
      </c>
      <c r="T26" s="5">
        <v>1556529</v>
      </c>
      <c r="U26" s="5">
        <v>1406083</v>
      </c>
      <c r="V26" s="5">
        <v>1680952</v>
      </c>
      <c r="W26" s="5">
        <v>1378880</v>
      </c>
      <c r="X26" s="5">
        <v>1250177</v>
      </c>
    </row>
    <row r="27" spans="1:24" x14ac:dyDescent="0.15">
      <c r="A27" s="1" t="s">
        <v>48</v>
      </c>
      <c r="B27" s="103"/>
      <c r="C27" s="106"/>
      <c r="D27" s="103"/>
      <c r="E27" s="103"/>
      <c r="F27" s="103"/>
      <c r="G27" s="103"/>
      <c r="H27" s="103"/>
      <c r="I27" s="103"/>
      <c r="J27" s="34">
        <v>2691411</v>
      </c>
      <c r="K27" s="34">
        <v>2676483</v>
      </c>
      <c r="L27" s="34">
        <v>2171606</v>
      </c>
      <c r="M27" s="34">
        <v>2487582</v>
      </c>
      <c r="N27" s="34">
        <v>1513466</v>
      </c>
      <c r="O27" s="5">
        <v>1511283</v>
      </c>
      <c r="P27" s="5">
        <v>1362706</v>
      </c>
      <c r="Q27" s="5">
        <v>1731550</v>
      </c>
      <c r="R27" s="5">
        <v>2789878</v>
      </c>
      <c r="S27" s="5">
        <v>2659238</v>
      </c>
      <c r="T27" s="5">
        <v>1937233</v>
      </c>
      <c r="U27" s="5">
        <v>1540066</v>
      </c>
      <c r="V27" s="5">
        <v>1137648</v>
      </c>
      <c r="W27" s="5">
        <v>772096</v>
      </c>
      <c r="X27" s="5">
        <v>910586</v>
      </c>
    </row>
    <row r="28" spans="1:24" x14ac:dyDescent="0.15">
      <c r="A28" s="1" t="s">
        <v>20</v>
      </c>
      <c r="B28" s="104"/>
      <c r="C28" s="107"/>
      <c r="D28" s="104"/>
      <c r="E28" s="104"/>
      <c r="F28" s="104"/>
      <c r="G28" s="104"/>
      <c r="H28" s="104"/>
      <c r="I28" s="104"/>
      <c r="J28" s="34">
        <v>884438</v>
      </c>
      <c r="K28" s="34">
        <v>820882</v>
      </c>
      <c r="L28" s="34">
        <v>755407</v>
      </c>
      <c r="M28" s="34">
        <v>579253</v>
      </c>
      <c r="N28" s="34">
        <v>505726</v>
      </c>
      <c r="O28" s="5">
        <v>529591</v>
      </c>
      <c r="P28" s="5">
        <v>549144</v>
      </c>
      <c r="Q28" s="5">
        <v>997256</v>
      </c>
      <c r="R28" s="5">
        <v>1146396</v>
      </c>
      <c r="S28" s="5">
        <v>747517</v>
      </c>
      <c r="T28" s="5">
        <v>559824</v>
      </c>
      <c r="U28" s="5">
        <v>215459</v>
      </c>
      <c r="V28" s="5">
        <v>387696</v>
      </c>
      <c r="W28" s="5">
        <v>202971</v>
      </c>
      <c r="X28" s="5">
        <v>205568</v>
      </c>
    </row>
    <row r="29" spans="1:24" x14ac:dyDescent="0.15">
      <c r="A29" s="2" t="s">
        <v>6</v>
      </c>
      <c r="B29" s="6">
        <f t="shared" ref="B29:K29" si="8">SUM(B20:B28)</f>
        <v>61205000</v>
      </c>
      <c r="C29" s="86">
        <f t="shared" si="8"/>
        <v>54763000</v>
      </c>
      <c r="D29" s="6">
        <f t="shared" si="8"/>
        <v>244566000</v>
      </c>
      <c r="E29" s="6">
        <f t="shared" si="8"/>
        <v>186747000</v>
      </c>
      <c r="F29" s="6">
        <f t="shared" si="8"/>
        <v>143679000</v>
      </c>
      <c r="G29" s="6">
        <f t="shared" si="8"/>
        <v>129190000</v>
      </c>
      <c r="H29" s="6">
        <f t="shared" si="8"/>
        <v>131356000</v>
      </c>
      <c r="I29" s="6">
        <f t="shared" si="8"/>
        <v>110357000</v>
      </c>
      <c r="J29" s="6">
        <f t="shared" si="8"/>
        <v>109423019</v>
      </c>
      <c r="K29" s="6">
        <f t="shared" si="8"/>
        <v>109630788</v>
      </c>
      <c r="L29" s="6">
        <f t="shared" ref="L29:M29" si="9">SUM(L20:L28)</f>
        <v>104708759</v>
      </c>
      <c r="M29" s="6">
        <f t="shared" si="9"/>
        <v>98999185</v>
      </c>
      <c r="N29" s="6">
        <f>SUM(N20:N28)</f>
        <v>81186220</v>
      </c>
      <c r="O29" s="6">
        <f>SUM(O20:O28)</f>
        <v>62693729</v>
      </c>
      <c r="P29" s="6">
        <f>SUM(P20:P28)</f>
        <v>65392381</v>
      </c>
      <c r="Q29" s="6">
        <f t="shared" ref="Q29:X29" si="10">SUM(Q20:Q28)</f>
        <v>74340060</v>
      </c>
      <c r="R29" s="6">
        <f t="shared" si="10"/>
        <v>73117952</v>
      </c>
      <c r="S29" s="6">
        <f t="shared" si="10"/>
        <v>67332282</v>
      </c>
      <c r="T29" s="6">
        <f t="shared" si="10"/>
        <v>69280955</v>
      </c>
      <c r="U29" s="6">
        <f t="shared" si="10"/>
        <v>64339010</v>
      </c>
      <c r="V29" s="6">
        <f t="shared" si="10"/>
        <v>74658857</v>
      </c>
      <c r="W29" s="6">
        <f t="shared" si="10"/>
        <v>61183498</v>
      </c>
      <c r="X29" s="6">
        <f t="shared" si="10"/>
        <v>55053447</v>
      </c>
    </row>
    <row r="30" spans="1:24" x14ac:dyDescent="0.15">
      <c r="B30" s="34"/>
      <c r="C30" s="85"/>
      <c r="D30" s="34"/>
      <c r="E30" s="34"/>
      <c r="F30" s="34"/>
      <c r="G30" s="34"/>
      <c r="H30" s="34"/>
      <c r="I30" s="34"/>
      <c r="J30" s="34"/>
      <c r="K30" s="34"/>
      <c r="L30" s="34"/>
      <c r="M30" s="34"/>
      <c r="N30" s="34"/>
      <c r="O30" s="5"/>
      <c r="P30" s="5"/>
      <c r="Q30" s="5"/>
      <c r="R30" s="5"/>
      <c r="S30" s="5"/>
      <c r="T30" s="5"/>
      <c r="U30" s="5"/>
      <c r="V30" s="5"/>
      <c r="W30" s="5"/>
      <c r="X30" s="5"/>
    </row>
    <row r="31" spans="1:24" x14ac:dyDescent="0.15">
      <c r="A31" s="1" t="s">
        <v>49</v>
      </c>
      <c r="B31" s="34">
        <f t="shared" ref="B31:K31" si="11">B17-B29</f>
        <v>7793000</v>
      </c>
      <c r="C31" s="85">
        <f t="shared" ref="C31" si="12">C17-C29</f>
        <v>17315000</v>
      </c>
      <c r="D31" s="34">
        <f t="shared" si="11"/>
        <v>84932000</v>
      </c>
      <c r="E31" s="34">
        <f t="shared" si="11"/>
        <v>49661000</v>
      </c>
      <c r="F31" s="34">
        <f t="shared" si="11"/>
        <v>39823000</v>
      </c>
      <c r="G31" s="34">
        <f t="shared" si="11"/>
        <v>27069000</v>
      </c>
      <c r="H31" s="34">
        <f t="shared" si="11"/>
        <v>30271000</v>
      </c>
      <c r="I31" s="34">
        <f t="shared" si="11"/>
        <v>28131000</v>
      </c>
      <c r="J31" s="34">
        <f t="shared" si="11"/>
        <v>17777053</v>
      </c>
      <c r="K31" s="34">
        <f t="shared" si="11"/>
        <v>13488498</v>
      </c>
      <c r="L31" s="34">
        <f t="shared" ref="L31:M31" si="13">L17-L29</f>
        <v>21542738</v>
      </c>
      <c r="M31" s="34">
        <f t="shared" si="13"/>
        <v>16079907</v>
      </c>
      <c r="N31" s="34">
        <f>N17-N29</f>
        <v>9498936</v>
      </c>
      <c r="O31" s="5">
        <f>O17-O29</f>
        <v>8615626</v>
      </c>
      <c r="P31" s="5">
        <f>P17-P29</f>
        <v>5915779</v>
      </c>
      <c r="Q31" s="5">
        <f t="shared" ref="Q31:X31" si="14">Q17-Q29</f>
        <v>-3216799</v>
      </c>
      <c r="R31" s="5">
        <f>R17-R29</f>
        <v>11824335</v>
      </c>
      <c r="S31" s="5">
        <f>S17-S29</f>
        <v>17329434</v>
      </c>
      <c r="T31" s="5">
        <f t="shared" si="14"/>
        <v>18602923</v>
      </c>
      <c r="U31" s="5">
        <f t="shared" si="14"/>
        <v>15502166</v>
      </c>
      <c r="V31" s="5">
        <f t="shared" si="14"/>
        <v>16171014</v>
      </c>
      <c r="W31" s="5">
        <f t="shared" si="14"/>
        <v>11668842</v>
      </c>
      <c r="X31" s="5">
        <f t="shared" si="14"/>
        <v>8738998</v>
      </c>
    </row>
    <row r="32" spans="1:24" x14ac:dyDescent="0.15">
      <c r="A32" s="1" t="s">
        <v>7</v>
      </c>
      <c r="B32" s="34">
        <v>1608000</v>
      </c>
      <c r="C32" s="85">
        <v>3492000</v>
      </c>
      <c r="D32" s="34">
        <v>17912000</v>
      </c>
      <c r="E32" s="34">
        <v>10241000</v>
      </c>
      <c r="F32" s="34">
        <v>8365000</v>
      </c>
      <c r="G32" s="34">
        <v>5210000</v>
      </c>
      <c r="H32" s="34">
        <v>4570000</v>
      </c>
      <c r="I32" s="34">
        <v>8616000</v>
      </c>
      <c r="J32" s="34">
        <v>5228000</v>
      </c>
      <c r="K32" s="34">
        <v>3816000</v>
      </c>
      <c r="L32" s="34">
        <v>6746000</v>
      </c>
      <c r="M32" s="34">
        <v>4889000</v>
      </c>
      <c r="N32" s="34">
        <v>2565000</v>
      </c>
      <c r="O32" s="5">
        <v>2243000</v>
      </c>
      <c r="P32" s="5">
        <v>1087000</v>
      </c>
      <c r="Q32" s="5">
        <v>-2034000</v>
      </c>
      <c r="R32" s="5">
        <v>3422000</v>
      </c>
      <c r="S32" s="5">
        <v>4144000</v>
      </c>
      <c r="T32" s="5">
        <v>5290000</v>
      </c>
      <c r="U32" s="5">
        <v>4783000</v>
      </c>
      <c r="V32" s="5">
        <v>5206000</v>
      </c>
      <c r="W32" s="5">
        <v>3560000</v>
      </c>
      <c r="X32" s="5">
        <v>2730000</v>
      </c>
    </row>
    <row r="33" spans="1:24" x14ac:dyDescent="0.15">
      <c r="A33" s="1" t="s">
        <v>213</v>
      </c>
      <c r="B33" s="34">
        <v>0</v>
      </c>
      <c r="C33" s="85">
        <v>0</v>
      </c>
      <c r="D33" s="34">
        <v>0</v>
      </c>
      <c r="E33" s="34">
        <v>0</v>
      </c>
      <c r="F33" s="34">
        <v>0</v>
      </c>
      <c r="G33" s="34">
        <v>-33000</v>
      </c>
      <c r="H33" s="34">
        <v>-6000</v>
      </c>
      <c r="I33" s="34">
        <v>-8000</v>
      </c>
      <c r="J33" s="34">
        <v>15148</v>
      </c>
      <c r="K33" s="34">
        <v>23523</v>
      </c>
      <c r="L33" s="34">
        <v>88528</v>
      </c>
      <c r="M33" s="34">
        <v>88411</v>
      </c>
      <c r="N33" s="34">
        <v>0</v>
      </c>
      <c r="O33" s="5">
        <v>0</v>
      </c>
      <c r="P33" s="5">
        <v>0</v>
      </c>
      <c r="Q33" s="5">
        <v>0</v>
      </c>
      <c r="R33" s="5">
        <v>0</v>
      </c>
      <c r="S33" s="5">
        <v>0</v>
      </c>
      <c r="T33" s="5">
        <v>0</v>
      </c>
      <c r="U33" s="5">
        <v>0</v>
      </c>
      <c r="V33" s="5">
        <v>0</v>
      </c>
      <c r="W33" s="5">
        <v>0</v>
      </c>
      <c r="X33" s="5">
        <v>0</v>
      </c>
    </row>
    <row r="34" spans="1:24" s="2" customFormat="1" ht="13" thickBot="1" x14ac:dyDescent="0.2">
      <c r="A34" s="2" t="s">
        <v>8</v>
      </c>
      <c r="B34" s="9">
        <f t="shared" ref="B34:K34" si="15">B31-B32-B33</f>
        <v>6185000</v>
      </c>
      <c r="C34" s="87">
        <f t="shared" ref="C34" si="16">C31-C32-C33</f>
        <v>13823000</v>
      </c>
      <c r="D34" s="9">
        <f>D31-D32-D33</f>
        <v>67020000</v>
      </c>
      <c r="E34" s="9">
        <f>E31-E32-E33</f>
        <v>39420000</v>
      </c>
      <c r="F34" s="9">
        <f t="shared" si="15"/>
        <v>31458000</v>
      </c>
      <c r="G34" s="9">
        <f t="shared" si="15"/>
        <v>21892000</v>
      </c>
      <c r="H34" s="9">
        <f t="shared" si="15"/>
        <v>25707000</v>
      </c>
      <c r="I34" s="9">
        <f t="shared" si="15"/>
        <v>19523000</v>
      </c>
      <c r="J34" s="9">
        <f t="shared" si="15"/>
        <v>12533905</v>
      </c>
      <c r="K34" s="9">
        <f t="shared" si="15"/>
        <v>9648975</v>
      </c>
      <c r="L34" s="9">
        <f t="shared" ref="L34" si="17">L31-L32-L33</f>
        <v>14708210</v>
      </c>
      <c r="M34" s="9">
        <f>M31-M32-M33</f>
        <v>11102496</v>
      </c>
      <c r="N34" s="9">
        <f>N31-N32-N33</f>
        <v>6933936</v>
      </c>
      <c r="O34" s="9">
        <f t="shared" ref="O34:X34" si="18">O31-O32-O33</f>
        <v>6372626</v>
      </c>
      <c r="P34" s="9">
        <f t="shared" si="18"/>
        <v>4828779</v>
      </c>
      <c r="Q34" s="9">
        <f t="shared" si="18"/>
        <v>-1182799</v>
      </c>
      <c r="R34" s="9">
        <f t="shared" si="18"/>
        <v>8402335</v>
      </c>
      <c r="S34" s="9">
        <f t="shared" si="18"/>
        <v>13185434</v>
      </c>
      <c r="T34" s="9">
        <f t="shared" si="18"/>
        <v>13312923</v>
      </c>
      <c r="U34" s="9">
        <f t="shared" si="18"/>
        <v>10719166</v>
      </c>
      <c r="V34" s="9">
        <f t="shared" si="18"/>
        <v>10965014</v>
      </c>
      <c r="W34" s="9">
        <f t="shared" si="18"/>
        <v>8108842</v>
      </c>
      <c r="X34" s="9">
        <f t="shared" si="18"/>
        <v>6008998</v>
      </c>
    </row>
    <row r="35" spans="1:24" ht="13" thickTop="1" x14ac:dyDescent="0.15">
      <c r="B35" s="33"/>
      <c r="C35" s="88"/>
      <c r="D35" s="33"/>
      <c r="E35" s="33"/>
      <c r="F35" s="33"/>
      <c r="G35" s="33"/>
      <c r="H35" s="33"/>
      <c r="I35" s="33"/>
      <c r="J35" s="33"/>
      <c r="K35" s="33"/>
      <c r="L35" s="33"/>
      <c r="M35" s="33"/>
      <c r="N35" s="33"/>
      <c r="O35" s="4"/>
      <c r="P35" s="4"/>
      <c r="Q35" s="4"/>
      <c r="R35" s="4"/>
      <c r="S35" s="4"/>
      <c r="T35" s="4"/>
      <c r="U35" s="4"/>
      <c r="V35" s="4"/>
      <c r="W35" s="4"/>
      <c r="X35" s="4"/>
    </row>
    <row r="36" spans="1:24" x14ac:dyDescent="0.15">
      <c r="A36" s="2" t="s">
        <v>15</v>
      </c>
      <c r="B36" s="34">
        <v>1903000</v>
      </c>
      <c r="C36" s="85">
        <v>1897000</v>
      </c>
      <c r="D36" s="34">
        <v>1900000</v>
      </c>
      <c r="E36" s="34">
        <v>1896000</v>
      </c>
      <c r="F36" s="34">
        <v>1896000</v>
      </c>
      <c r="G36" s="34">
        <v>1897000</v>
      </c>
      <c r="H36" s="34">
        <v>1895871</v>
      </c>
      <c r="I36" s="34">
        <v>1915057</v>
      </c>
      <c r="J36" s="34">
        <v>1989799</v>
      </c>
      <c r="K36" s="34">
        <v>2037534</v>
      </c>
      <c r="L36" s="34">
        <v>2076628</v>
      </c>
      <c r="M36" s="34">
        <v>2116793</v>
      </c>
      <c r="N36" s="34">
        <v>2169636</v>
      </c>
      <c r="O36" s="5">
        <v>2289847</v>
      </c>
      <c r="P36" s="5">
        <v>2299429</v>
      </c>
      <c r="Q36" s="5">
        <v>2364361</v>
      </c>
      <c r="R36" s="5">
        <v>2508609</v>
      </c>
      <c r="S36" s="5">
        <v>2564216</v>
      </c>
      <c r="T36" s="5">
        <v>2607633</v>
      </c>
      <c r="U36" s="5">
        <v>2620916</v>
      </c>
      <c r="V36" s="5">
        <v>2624473</v>
      </c>
      <c r="W36" s="5">
        <v>2597979</v>
      </c>
      <c r="X36" s="5">
        <v>2599714</v>
      </c>
    </row>
    <row r="37" spans="1:24" x14ac:dyDescent="0.15">
      <c r="A37" s="2" t="s">
        <v>14</v>
      </c>
      <c r="B37" s="4">
        <v>3.26</v>
      </c>
      <c r="C37" s="88">
        <v>7.29</v>
      </c>
      <c r="D37" s="4">
        <v>35.28</v>
      </c>
      <c r="E37" s="4">
        <v>20.8</v>
      </c>
      <c r="F37" s="4">
        <f t="shared" ref="F37:P37" si="19">F34/F36</f>
        <v>16.591772151898734</v>
      </c>
      <c r="G37" s="4">
        <f t="shared" si="19"/>
        <v>11.540326831839748</v>
      </c>
      <c r="H37" s="4">
        <f t="shared" si="19"/>
        <v>13.559466862460578</v>
      </c>
      <c r="I37" s="4">
        <f t="shared" si="19"/>
        <v>10.194474629214692</v>
      </c>
      <c r="J37" s="4">
        <f t="shared" si="19"/>
        <v>6.2990809624489712</v>
      </c>
      <c r="K37" s="4">
        <f t="shared" si="19"/>
        <v>4.7356142277871189</v>
      </c>
      <c r="L37" s="4">
        <f t="shared" si="19"/>
        <v>7.0827370140439214</v>
      </c>
      <c r="M37" s="4">
        <f t="shared" si="19"/>
        <v>5.2449606551042072</v>
      </c>
      <c r="N37" s="33">
        <f t="shared" si="19"/>
        <v>3.1958982981477075</v>
      </c>
      <c r="O37" s="4">
        <f t="shared" si="19"/>
        <v>2.7829920514340043</v>
      </c>
      <c r="P37" s="4">
        <f t="shared" si="19"/>
        <v>2.0999904758964072</v>
      </c>
      <c r="Q37" s="4">
        <f t="shared" ref="Q37:X37" si="20">Q34/Q36</f>
        <v>-0.50026159287858329</v>
      </c>
      <c r="R37" s="4">
        <f t="shared" si="20"/>
        <v>3.3494000061388602</v>
      </c>
      <c r="S37" s="4">
        <f t="shared" si="20"/>
        <v>5.1420917738599243</v>
      </c>
      <c r="T37" s="4">
        <f t="shared" si="20"/>
        <v>5.1053668211746057</v>
      </c>
      <c r="U37" s="4">
        <f t="shared" si="20"/>
        <v>4.0898548446421019</v>
      </c>
      <c r="V37" s="4">
        <f t="shared" si="20"/>
        <v>4.1779869710985791</v>
      </c>
      <c r="W37" s="4">
        <f t="shared" si="20"/>
        <v>3.1212115263441311</v>
      </c>
      <c r="X37" s="4">
        <f t="shared" si="20"/>
        <v>2.3114073317295674</v>
      </c>
    </row>
    <row r="38" spans="1:24" x14ac:dyDescent="0.15">
      <c r="A38" s="2" t="s">
        <v>31</v>
      </c>
      <c r="B38" s="33">
        <v>0.46</v>
      </c>
      <c r="C38" s="88">
        <v>0.44</v>
      </c>
      <c r="D38" s="33">
        <v>19.82</v>
      </c>
      <c r="E38" s="33">
        <v>16.760000000000002</v>
      </c>
      <c r="F38" s="33">
        <v>9.6</v>
      </c>
      <c r="G38" s="33">
        <v>12.2</v>
      </c>
      <c r="H38" s="33">
        <v>3.75</v>
      </c>
      <c r="I38" s="33">
        <v>0.72</v>
      </c>
      <c r="J38" s="33">
        <v>0.4</v>
      </c>
      <c r="K38" s="33">
        <v>0.32</v>
      </c>
      <c r="L38" s="33">
        <v>0.32</v>
      </c>
      <c r="M38" s="33">
        <v>0.28999999999999998</v>
      </c>
      <c r="N38" s="33">
        <v>0.28000000000000003</v>
      </c>
      <c r="O38" s="4">
        <v>0.28000000000000003</v>
      </c>
      <c r="P38" s="4">
        <v>0.28000000000000003</v>
      </c>
      <c r="Q38" s="4">
        <v>0.28000000000000003</v>
      </c>
      <c r="R38" s="4">
        <v>0.24</v>
      </c>
      <c r="S38" s="4">
        <v>0.24</v>
      </c>
      <c r="T38" s="4">
        <v>0.16</v>
      </c>
      <c r="U38" s="4">
        <v>0.15</v>
      </c>
      <c r="V38" s="4">
        <v>0.12</v>
      </c>
      <c r="W38" s="4">
        <v>0.12</v>
      </c>
      <c r="X38" s="4">
        <v>0.12</v>
      </c>
    </row>
    <row r="39" spans="1:24" x14ac:dyDescent="0.15">
      <c r="A39" s="2"/>
      <c r="B39" s="33"/>
      <c r="C39" s="88"/>
      <c r="D39" s="33"/>
      <c r="E39" s="33"/>
      <c r="F39" s="33"/>
      <c r="G39" s="33"/>
      <c r="H39" s="33"/>
      <c r="I39" s="33"/>
      <c r="J39" s="33"/>
      <c r="K39" s="33"/>
      <c r="L39" s="33"/>
      <c r="M39" s="33"/>
      <c r="N39" s="33"/>
      <c r="O39" s="4"/>
      <c r="P39" s="4"/>
      <c r="Q39" s="4"/>
      <c r="R39" s="4"/>
      <c r="S39" s="4"/>
      <c r="T39" s="4"/>
      <c r="U39" s="4"/>
      <c r="V39" s="4"/>
      <c r="W39" s="4"/>
      <c r="X39" s="4"/>
    </row>
    <row r="40" spans="1:24" x14ac:dyDescent="0.15">
      <c r="A40" s="2" t="s">
        <v>34</v>
      </c>
      <c r="B40" s="34">
        <f>'Balance Sheet Analysis'!B44</f>
        <v>232492000</v>
      </c>
      <c r="C40" s="85">
        <v>212873000</v>
      </c>
      <c r="D40" s="34">
        <f>'Balance Sheet Analysis'!C44</f>
        <v>229087000</v>
      </c>
      <c r="E40" s="34">
        <f>'Balance Sheet Analysis'!D44</f>
        <v>200422000</v>
      </c>
      <c r="F40" s="34">
        <f>'Balance Sheet Analysis'!E44</f>
        <v>191362000</v>
      </c>
      <c r="G40" s="34">
        <f>'Balance Sheet Analysis'!F44</f>
        <v>175639000</v>
      </c>
      <c r="H40" s="34">
        <f>'Balance Sheet Analysis'!G44</f>
        <v>177835487</v>
      </c>
      <c r="I40" s="34">
        <f>'Balance Sheet Analysis'!H44</f>
        <v>155045069</v>
      </c>
      <c r="J40" s="34">
        <f>'Balance Sheet Analysis'!I44</f>
        <v>142669882</v>
      </c>
      <c r="K40" s="34">
        <f>'Balance Sheet Analysis'!J44</f>
        <v>137563706</v>
      </c>
      <c r="L40" s="34">
        <f>'Balance Sheet Analysis'!K44</f>
        <v>128062154</v>
      </c>
      <c r="M40" s="34">
        <f>'Balance Sheet Analysis'!L44</f>
        <v>114638890</v>
      </c>
      <c r="N40" s="34">
        <f>'Balance Sheet Analysis'!M44</f>
        <v>106512184</v>
      </c>
      <c r="O40" s="34">
        <f>'Balance Sheet Analysis'!N44</f>
        <v>103928815</v>
      </c>
      <c r="P40" s="34">
        <f>'Balance Sheet Analysis'!O44</f>
        <v>97259077</v>
      </c>
      <c r="Q40" s="34">
        <f>'Balance Sheet Analysis'!P44</f>
        <v>89857888</v>
      </c>
      <c r="R40" s="34">
        <f>'Balance Sheet Analysis'!Q44</f>
        <v>99275840</v>
      </c>
      <c r="S40" s="34">
        <f>'Balance Sheet Analysis'!R44</f>
        <v>95275663</v>
      </c>
      <c r="T40" s="34">
        <f>'Balance Sheet Analysis'!S44</f>
        <v>84297256</v>
      </c>
      <c r="U40" s="34">
        <f>'Balance Sheet Analysis'!T44</f>
        <v>72507271</v>
      </c>
      <c r="V40" s="34">
        <f>'Balance Sheet Analysis'!U44</f>
        <v>63188746</v>
      </c>
      <c r="W40" s="34">
        <f>'Balance Sheet Analysis'!V44</f>
        <v>52668184</v>
      </c>
      <c r="X40" s="34">
        <f>'Balance Sheet Analysis'!W44</f>
        <v>44271768</v>
      </c>
    </row>
    <row r="41" spans="1:24" x14ac:dyDescent="0.15">
      <c r="A41" s="2" t="s">
        <v>35</v>
      </c>
      <c r="B41" s="33">
        <f>'Balance Sheet Analysis'!B50</f>
        <v>122.55772272008434</v>
      </c>
      <c r="C41" s="88">
        <v>112.39</v>
      </c>
      <c r="D41" s="33">
        <f>'Balance Sheet Analysis'!C50</f>
        <v>120.89023746701847</v>
      </c>
      <c r="E41" s="33">
        <f>'Balance Sheet Analysis'!D50</f>
        <v>105.93128964059197</v>
      </c>
      <c r="F41" s="33">
        <f>'Balance Sheet Analysis'!E50</f>
        <v>101.30333509793542</v>
      </c>
      <c r="G41" s="33">
        <f>'Balance Sheet Analysis'!F50</f>
        <v>93.078431372549019</v>
      </c>
      <c r="H41" s="33">
        <f>'Balance Sheet Analysis'!G50</f>
        <v>94.292760895719127</v>
      </c>
      <c r="I41" s="33">
        <f>'Balance Sheet Analysis'!H50</f>
        <v>82.283324214037918</v>
      </c>
      <c r="J41" s="33">
        <f>'Balance Sheet Analysis'!I50</f>
        <v>73.171659408646136</v>
      </c>
      <c r="K41" s="33">
        <f>'Balance Sheet Analysis'!J50</f>
        <v>67.990780271540629</v>
      </c>
      <c r="L41" s="33">
        <f>'Balance Sheet Analysis'!K50</f>
        <v>62.672371325841418</v>
      </c>
      <c r="M41" s="33">
        <f>'Balance Sheet Analysis'!L50</f>
        <v>56.103156616140382</v>
      </c>
      <c r="N41" s="33">
        <f>'Balance Sheet Analysis'!M50</f>
        <v>50.535248929985137</v>
      </c>
      <c r="O41" s="33">
        <f>'Balance Sheet Analysis'!N50</f>
        <v>45.530972191311996</v>
      </c>
      <c r="P41" s="33">
        <f>'Balance Sheet Analysis'!O50</f>
        <v>42.558764777671442</v>
      </c>
      <c r="Q41" s="33">
        <f>'Balance Sheet Analysis'!P50</f>
        <v>39.183334874074902</v>
      </c>
      <c r="R41" s="33">
        <f>'Balance Sheet Analysis'!Q50</f>
        <v>41.170778802298159</v>
      </c>
      <c r="S41" s="33">
        <f>'Balance Sheet Analysis'!R50</f>
        <v>37.998928339963904</v>
      </c>
      <c r="T41" s="33">
        <f>'Balance Sheet Analysis'!S50</f>
        <v>33.065086603536315</v>
      </c>
      <c r="U41" s="33">
        <f>'Balance Sheet Analysis'!T50</f>
        <v>29.224735834881081</v>
      </c>
      <c r="V41" s="33">
        <f>'Balance Sheet Analysis'!U50</f>
        <v>25.235898228499838</v>
      </c>
      <c r="W41" s="33">
        <f>'Balance Sheet Analysis'!V50</f>
        <v>20.93493133805336</v>
      </c>
      <c r="X41" s="33">
        <f>'Balance Sheet Analysis'!W50</f>
        <v>17.594008340824498</v>
      </c>
    </row>
    <row r="42" spans="1:24" x14ac:dyDescent="0.15">
      <c r="A42" s="2" t="s">
        <v>231</v>
      </c>
      <c r="B42" s="33">
        <f>'Balance Sheet Analysis'!B51</f>
        <v>114.32314180284661</v>
      </c>
      <c r="C42" s="88">
        <v>107.05</v>
      </c>
      <c r="D42" s="33">
        <f>'Balance Sheet Analysis'!C51</f>
        <v>112.47282321899736</v>
      </c>
      <c r="E42" s="33">
        <f>'Balance Sheet Analysis'!D51</f>
        <v>100.7669133192389</v>
      </c>
      <c r="F42" s="33">
        <f>'Balance Sheet Analysis'!E51</f>
        <v>95.863949179460036</v>
      </c>
      <c r="G42" s="33">
        <f>'Balance Sheet Analysis'!F51</f>
        <v>87.365659777424483</v>
      </c>
      <c r="H42" s="33">
        <f>'Balance Sheet Analysis'!G51</f>
        <v>88.270845650010372</v>
      </c>
      <c r="I42" s="33">
        <f>'Balance Sheet Analysis'!H51</f>
        <v>75.77865320655124</v>
      </c>
      <c r="J42" s="33">
        <f>'Balance Sheet Analysis'!I51</f>
        <v>72.545653214155109</v>
      </c>
      <c r="K42" s="33">
        <f>'Balance Sheet Analysis'!J51</f>
        <v>67.990780271540629</v>
      </c>
      <c r="L42" s="33">
        <f>'Balance Sheet Analysis'!K51</f>
        <v>62.672371325841418</v>
      </c>
      <c r="M42" s="33">
        <f>'Balance Sheet Analysis'!L51</f>
        <v>56.103156616140382</v>
      </c>
      <c r="N42" s="33">
        <f>'Balance Sheet Analysis'!M51</f>
        <v>50.535248929985137</v>
      </c>
      <c r="O42" s="33">
        <f>'Balance Sheet Analysis'!N51</f>
        <v>45.530972191311996</v>
      </c>
      <c r="P42" s="33">
        <f>'Balance Sheet Analysis'!O51</f>
        <v>42.558764777671442</v>
      </c>
      <c r="Q42" s="33">
        <f>'Balance Sheet Analysis'!P51</f>
        <v>39.183334874074902</v>
      </c>
      <c r="R42" s="33">
        <f>'Balance Sheet Analysis'!Q51</f>
        <v>41.170778802298159</v>
      </c>
      <c r="S42" s="33">
        <f>'Balance Sheet Analysis'!R51</f>
        <v>37.998928339963904</v>
      </c>
      <c r="T42" s="33">
        <f>'Balance Sheet Analysis'!S51</f>
        <v>33.065086603536315</v>
      </c>
      <c r="U42" s="33">
        <f>'Balance Sheet Analysis'!T51</f>
        <v>29.224735834881081</v>
      </c>
      <c r="V42" s="33">
        <f>'Balance Sheet Analysis'!U51</f>
        <v>25.235898228499838</v>
      </c>
      <c r="W42" s="33">
        <f>'Balance Sheet Analysis'!V51</f>
        <v>20.93493133805336</v>
      </c>
      <c r="X42" s="33">
        <f>'Balance Sheet Analysis'!W51</f>
        <v>17.594008340824498</v>
      </c>
    </row>
    <row r="43" spans="1:24" x14ac:dyDescent="0.15">
      <c r="A43" s="2"/>
      <c r="B43" s="33"/>
      <c r="C43" s="88"/>
      <c r="D43" s="33"/>
      <c r="E43" s="33"/>
      <c r="F43" s="33"/>
      <c r="G43" s="33"/>
      <c r="H43" s="33"/>
      <c r="I43" s="33"/>
      <c r="J43" s="33"/>
      <c r="K43" s="33"/>
      <c r="L43" s="33"/>
      <c r="M43" s="33"/>
      <c r="N43" s="33"/>
      <c r="O43" s="4"/>
      <c r="P43" s="4"/>
      <c r="Q43" s="4"/>
      <c r="R43" s="4"/>
      <c r="S43" s="4"/>
      <c r="T43" s="4"/>
      <c r="U43" s="4"/>
      <c r="V43" s="4"/>
      <c r="W43" s="4"/>
      <c r="X43" s="4"/>
    </row>
    <row r="44" spans="1:24" x14ac:dyDescent="0.15">
      <c r="A44" s="2" t="s">
        <v>175</v>
      </c>
      <c r="B44" s="33">
        <f>B41+SUM(D38:$X$38)+B38</f>
        <v>189.46772272008437</v>
      </c>
      <c r="C44" s="88">
        <f>C41+SUM(E38:X38)+C38</f>
        <v>159.45999999999998</v>
      </c>
      <c r="D44" s="33">
        <f>D41+SUM(D38:$X$38)</f>
        <v>187.34023746701848</v>
      </c>
      <c r="E44" s="33">
        <f>E41+SUM(E38:$X$38)</f>
        <v>152.56128964059195</v>
      </c>
      <c r="F44" s="33">
        <f>F41+SUM(F38:$X$38)</f>
        <v>131.17333509793542</v>
      </c>
      <c r="G44" s="33">
        <f>G41+SUM(G38:$X$38)</f>
        <v>113.34843137254902</v>
      </c>
      <c r="H44" s="33">
        <f>H41+SUM(H38:$X$38)</f>
        <v>102.36276089571913</v>
      </c>
      <c r="I44" s="33">
        <f>I41+SUM(I38:$X$38)</f>
        <v>86.603324214037926</v>
      </c>
      <c r="J44" s="33">
        <f>J41+SUM(J38:$X$38)</f>
        <v>76.77165940864613</v>
      </c>
      <c r="K44" s="33">
        <f>K41+SUM(K38:$X$38)</f>
        <v>71.190780271540632</v>
      </c>
      <c r="L44" s="33">
        <f>L41+SUM(L38:$X$38)</f>
        <v>65.55237132584142</v>
      </c>
      <c r="M44" s="33">
        <f>M41+SUM(M38:$X$38)</f>
        <v>58.663156616140384</v>
      </c>
      <c r="N44" s="33">
        <f>N41+SUM(N38:$X$38)</f>
        <v>52.80524892998514</v>
      </c>
      <c r="O44" s="33">
        <f>O41+SUM(O38:$X$38)</f>
        <v>47.520972191311998</v>
      </c>
      <c r="P44" s="33">
        <f>P41+SUM(P38:$X$38)</f>
        <v>44.268764777671443</v>
      </c>
      <c r="Q44" s="33">
        <f>Q41+SUM(Q38:$X$38)</f>
        <v>40.613334874074901</v>
      </c>
      <c r="R44" s="33">
        <f>R41+SUM(R38:$X$38)</f>
        <v>42.320778802298157</v>
      </c>
      <c r="S44" s="33">
        <f>S41+SUM(S38:$X$38)</f>
        <v>38.9089283399639</v>
      </c>
      <c r="T44" s="33">
        <f>T41+SUM(T38:$X$38)</f>
        <v>33.735086603536317</v>
      </c>
      <c r="U44" s="33">
        <f>U41+SUM(U38:$X$38)</f>
        <v>29.734735834881082</v>
      </c>
      <c r="V44" s="33">
        <f>V41+SUM(V38:$X$38)</f>
        <v>25.595898228499838</v>
      </c>
      <c r="W44" s="33">
        <f>W41+SUM(W38:$X$38)</f>
        <v>21.174931338053359</v>
      </c>
      <c r="X44" s="33">
        <f>X41+SUM(X38:$X$38)</f>
        <v>17.714008340824499</v>
      </c>
    </row>
    <row r="45" spans="1:24" x14ac:dyDescent="0.15">
      <c r="A45" s="2" t="s">
        <v>184</v>
      </c>
      <c r="B45" s="46">
        <f>(B44/D44)-1</f>
        <v>1.1356264312627706E-2</v>
      </c>
      <c r="C45" s="89">
        <f>(C44/E44)-1</f>
        <v>4.5219271386995885E-2</v>
      </c>
      <c r="D45" s="46">
        <f t="shared" ref="D45:K45" si="21">(D44/E44)-1</f>
        <v>0.22796705447600574</v>
      </c>
      <c r="E45" s="46">
        <f t="shared" si="21"/>
        <v>0.16305108448060768</v>
      </c>
      <c r="F45" s="46">
        <f t="shared" si="21"/>
        <v>0.15725761273925554</v>
      </c>
      <c r="G45" s="46">
        <f>(G44/H44)-1</f>
        <v>0.10732096692879756</v>
      </c>
      <c r="H45" s="46">
        <f t="shared" si="21"/>
        <v>0.18197265318282896</v>
      </c>
      <c r="I45" s="46">
        <f t="shared" si="21"/>
        <v>0.12806372665541921</v>
      </c>
      <c r="J45" s="46">
        <f t="shared" si="21"/>
        <v>7.8393285139150448E-2</v>
      </c>
      <c r="K45" s="46">
        <f t="shared" si="21"/>
        <v>8.601380593346275E-2</v>
      </c>
      <c r="L45" s="46">
        <f>(L44/M44)-1</f>
        <v>0.11743682248093612</v>
      </c>
      <c r="M45" s="46">
        <f>(M44/N44)-1</f>
        <v>0.11093419318830011</v>
      </c>
      <c r="N45" s="46">
        <f>(N44/O44)-1</f>
        <v>0.11119883485126247</v>
      </c>
      <c r="O45" s="46">
        <f t="shared" ref="O45:W45" si="22">(O44/P44)-1</f>
        <v>7.3465058941082573E-2</v>
      </c>
      <c r="P45" s="46">
        <f t="shared" si="22"/>
        <v>9.0005657376586168E-2</v>
      </c>
      <c r="Q45" s="46">
        <f t="shared" si="22"/>
        <v>-4.0345286087470011E-2</v>
      </c>
      <c r="R45" s="46">
        <f t="shared" si="22"/>
        <v>8.768811190386594E-2</v>
      </c>
      <c r="S45" s="46">
        <f t="shared" si="22"/>
        <v>0.15336678388385194</v>
      </c>
      <c r="T45" s="46">
        <f t="shared" si="22"/>
        <v>0.13453459922662314</v>
      </c>
      <c r="U45" s="46">
        <f t="shared" si="22"/>
        <v>0.16169925233461213</v>
      </c>
      <c r="V45" s="46">
        <f t="shared" si="22"/>
        <v>0.20878305671299069</v>
      </c>
      <c r="W45" s="46">
        <f t="shared" si="22"/>
        <v>0.19537774458718427</v>
      </c>
      <c r="X45" s="46" t="s">
        <v>0</v>
      </c>
    </row>
    <row r="46" spans="1:24" x14ac:dyDescent="0.15">
      <c r="A46" s="2"/>
      <c r="B46" s="47"/>
      <c r="C46" s="90"/>
      <c r="D46" s="47"/>
      <c r="E46" s="47"/>
      <c r="F46" s="47"/>
      <c r="G46" s="47"/>
      <c r="H46" s="47"/>
      <c r="I46" s="47"/>
      <c r="J46" s="47"/>
      <c r="K46" s="47"/>
      <c r="L46" s="47"/>
      <c r="M46" s="47"/>
      <c r="N46" s="47"/>
      <c r="O46" s="38"/>
      <c r="P46" s="38"/>
      <c r="Q46" s="38"/>
      <c r="R46" s="38"/>
      <c r="S46" s="38"/>
      <c r="T46" s="38"/>
      <c r="U46" s="38"/>
      <c r="V46" s="38"/>
      <c r="W46" s="38"/>
      <c r="X46" s="38"/>
    </row>
    <row r="47" spans="1:24" x14ac:dyDescent="0.15">
      <c r="A47" s="2" t="s">
        <v>185</v>
      </c>
      <c r="B47" s="46">
        <f>(B8/C8)-1</f>
        <v>2.68067732647983E-2</v>
      </c>
      <c r="C47" s="89"/>
      <c r="D47" s="46">
        <f t="shared" ref="D47:W47" si="23">(D8/E8)-1</f>
        <v>0.33330574730549412</v>
      </c>
      <c r="E47" s="46">
        <f t="shared" si="23"/>
        <v>0.40849686647193528</v>
      </c>
      <c r="F47" s="46">
        <f t="shared" si="23"/>
        <v>5.5869683257918634E-2</v>
      </c>
      <c r="G47" s="46">
        <f t="shared" si="23"/>
        <v>-1.6917908641869817E-2</v>
      </c>
      <c r="H47" s="46">
        <f t="shared" si="23"/>
        <v>0.14674915525375032</v>
      </c>
      <c r="I47" s="46">
        <f t="shared" si="23"/>
        <v>8.9319873096839864E-2</v>
      </c>
      <c r="J47" s="46">
        <f t="shared" si="23"/>
        <v>2.2845114248578824E-2</v>
      </c>
      <c r="K47" s="46">
        <f t="shared" si="23"/>
        <v>-3.4444100573110314E-2</v>
      </c>
      <c r="L47" s="46">
        <f t="shared" si="23"/>
        <v>0.11291937420941678</v>
      </c>
      <c r="M47" s="46">
        <f t="shared" si="23"/>
        <v>0.25514459930636257</v>
      </c>
      <c r="N47" s="46">
        <f t="shared" si="23"/>
        <v>0.32649031951073981</v>
      </c>
      <c r="O47" s="40">
        <f t="shared" si="23"/>
        <v>-1.1146443604579725E-2</v>
      </c>
      <c r="P47" s="40">
        <f t="shared" si="23"/>
        <v>-2.3670817340912254E-2</v>
      </c>
      <c r="Q47" s="40">
        <f t="shared" si="23"/>
        <v>-9.0332118679316786E-2</v>
      </c>
      <c r="R47" s="40">
        <f t="shared" si="23"/>
        <v>-3.0269044736966899E-3</v>
      </c>
      <c r="S47" s="40">
        <f t="shared" si="23"/>
        <v>-8.2666122302232914E-2</v>
      </c>
      <c r="T47" s="40">
        <f t="shared" si="23"/>
        <v>6.6138608376711705E-2</v>
      </c>
      <c r="U47" s="40">
        <f t="shared" si="23"/>
        <v>-0.14479380681225673</v>
      </c>
      <c r="V47" s="40">
        <f t="shared" si="23"/>
        <v>0.24708821282315507</v>
      </c>
      <c r="W47" s="40">
        <f t="shared" si="23"/>
        <v>0.14452369446575708</v>
      </c>
      <c r="X47" s="38"/>
    </row>
    <row r="48" spans="1:24" x14ac:dyDescent="0.15">
      <c r="A48" s="2" t="s">
        <v>176</v>
      </c>
      <c r="B48" s="46">
        <f>(B17/C17)-1</f>
        <v>-4.2731485335331221E-2</v>
      </c>
      <c r="C48" s="89"/>
      <c r="D48" s="46">
        <f t="shared" ref="D48:W48" si="24">(D17/E17)-1</f>
        <v>0.39376840039254168</v>
      </c>
      <c r="E48" s="46">
        <f t="shared" si="24"/>
        <v>0.28831293391897628</v>
      </c>
      <c r="F48" s="46">
        <f t="shared" si="24"/>
        <v>0.17434515771891546</v>
      </c>
      <c r="G48" s="46">
        <f t="shared" si="24"/>
        <v>-3.321227270196192E-2</v>
      </c>
      <c r="H48" s="46">
        <f t="shared" si="24"/>
        <v>0.16708306856911781</v>
      </c>
      <c r="I48" s="46">
        <f t="shared" si="24"/>
        <v>8.874152209599373E-2</v>
      </c>
      <c r="J48" s="46">
        <f t="shared" si="24"/>
        <v>3.3144977790075858E-2</v>
      </c>
      <c r="K48" s="46">
        <f t="shared" si="24"/>
        <v>-2.4809297904800243E-2</v>
      </c>
      <c r="L48" s="46">
        <f t="shared" si="24"/>
        <v>9.7084577274905826E-2</v>
      </c>
      <c r="M48" s="46">
        <f t="shared" si="24"/>
        <v>0.26899590931949224</v>
      </c>
      <c r="N48" s="46">
        <f t="shared" si="24"/>
        <v>0.27171471400912273</v>
      </c>
      <c r="O48" s="40">
        <f t="shared" si="24"/>
        <v>1.6758250388271279E-5</v>
      </c>
      <c r="P48" s="40">
        <f t="shared" si="24"/>
        <v>2.5996980087850119E-3</v>
      </c>
      <c r="Q48" s="40">
        <f t="shared" si="24"/>
        <v>-0.16268723727676415</v>
      </c>
      <c r="R48" s="40">
        <f t="shared" si="24"/>
        <v>3.3140244877625236E-3</v>
      </c>
      <c r="S48" s="40">
        <f t="shared" si="24"/>
        <v>-3.666385773281422E-2</v>
      </c>
      <c r="T48" s="40">
        <f t="shared" si="24"/>
        <v>0.10073376173717685</v>
      </c>
      <c r="U48" s="40">
        <f t="shared" si="24"/>
        <v>-0.12098107020321547</v>
      </c>
      <c r="V48" s="40">
        <f t="shared" si="24"/>
        <v>0.24676669273766638</v>
      </c>
      <c r="W48" s="40">
        <f t="shared" si="24"/>
        <v>0.1420214415672576</v>
      </c>
      <c r="X48" s="38"/>
    </row>
    <row r="49" spans="1:24" x14ac:dyDescent="0.15">
      <c r="A49" s="2"/>
      <c r="B49" s="47"/>
      <c r="C49" s="90"/>
      <c r="D49" s="47"/>
      <c r="E49" s="47"/>
      <c r="F49" s="47"/>
      <c r="G49" s="47"/>
      <c r="H49" s="47"/>
      <c r="I49" s="47"/>
      <c r="J49" s="47"/>
      <c r="K49" s="47"/>
      <c r="L49" s="47"/>
      <c r="M49" s="47"/>
      <c r="N49" s="47"/>
      <c r="O49" s="38"/>
      <c r="P49" s="38"/>
      <c r="Q49" s="38"/>
      <c r="R49" s="38"/>
      <c r="S49" s="38"/>
      <c r="T49" s="38"/>
      <c r="U49" s="38"/>
      <c r="V49" s="38"/>
      <c r="W49" s="38"/>
      <c r="X49" s="38"/>
    </row>
    <row r="50" spans="1:24" x14ac:dyDescent="0.15">
      <c r="A50" s="2" t="s">
        <v>242</v>
      </c>
      <c r="B50" s="47">
        <v>210.57</v>
      </c>
      <c r="C50" s="90">
        <v>172.45</v>
      </c>
      <c r="D50" s="47">
        <v>245</v>
      </c>
      <c r="E50" s="47">
        <v>189.9</v>
      </c>
      <c r="F50" s="47">
        <v>179.48</v>
      </c>
      <c r="G50" s="47">
        <v>204</v>
      </c>
      <c r="H50" s="47">
        <v>203.1</v>
      </c>
      <c r="I50" s="47">
        <v>172.01</v>
      </c>
      <c r="J50" s="47">
        <v>102.41</v>
      </c>
      <c r="K50" s="47">
        <v>81.77</v>
      </c>
      <c r="L50" s="47">
        <v>82.73</v>
      </c>
      <c r="M50" s="47">
        <v>70.31</v>
      </c>
      <c r="N50" s="47">
        <v>43.67</v>
      </c>
      <c r="O50" s="38">
        <v>37.54</v>
      </c>
      <c r="P50" s="38">
        <v>39</v>
      </c>
      <c r="Q50" s="38">
        <v>50.88</v>
      </c>
      <c r="R50" s="38">
        <v>55.73</v>
      </c>
      <c r="S50" s="38">
        <v>54.76</v>
      </c>
      <c r="T50" s="38">
        <v>44.75</v>
      </c>
      <c r="U50" s="38">
        <v>37</v>
      </c>
      <c r="V50" s="38">
        <v>31.5</v>
      </c>
      <c r="W50" s="38">
        <v>22.96</v>
      </c>
      <c r="X50" s="38">
        <v>17.440000000000001</v>
      </c>
    </row>
    <row r="51" spans="1:24" x14ac:dyDescent="0.15">
      <c r="A51" s="2" t="s">
        <v>243</v>
      </c>
      <c r="B51" s="47">
        <v>187</v>
      </c>
      <c r="C51" s="90">
        <v>141.57</v>
      </c>
      <c r="D51" s="47">
        <v>141.57</v>
      </c>
      <c r="E51" s="47">
        <v>102.02</v>
      </c>
      <c r="F51" s="47">
        <v>134.04</v>
      </c>
      <c r="G51" s="47">
        <v>158.15</v>
      </c>
      <c r="H51" s="47">
        <v>118.39</v>
      </c>
      <c r="I51" s="47">
        <v>78.540000000000006</v>
      </c>
      <c r="J51" s="47">
        <v>68.62</v>
      </c>
      <c r="K51" s="47">
        <v>63.09</v>
      </c>
      <c r="L51" s="47">
        <v>62.14</v>
      </c>
      <c r="M51" s="47">
        <v>35.799999999999997</v>
      </c>
      <c r="N51" s="47">
        <v>28.79</v>
      </c>
      <c r="O51" s="38">
        <v>27.95</v>
      </c>
      <c r="P51" s="38">
        <v>17.14</v>
      </c>
      <c r="Q51" s="38">
        <v>28.35</v>
      </c>
      <c r="R51" s="38">
        <v>35.5</v>
      </c>
      <c r="S51" s="38">
        <v>40.020000000000003</v>
      </c>
      <c r="T51" s="38">
        <v>34.270000000000003</v>
      </c>
      <c r="U51" s="38">
        <v>25.1</v>
      </c>
      <c r="V51" s="38">
        <v>18</v>
      </c>
      <c r="W51" s="38">
        <v>15.24</v>
      </c>
      <c r="X51" s="38">
        <v>12.01</v>
      </c>
    </row>
    <row r="52" spans="1:24" x14ac:dyDescent="0.15">
      <c r="A52" s="2"/>
      <c r="B52" s="47"/>
      <c r="C52" s="90"/>
      <c r="D52" s="47"/>
      <c r="E52" s="47"/>
      <c r="F52" s="47"/>
      <c r="G52" s="47"/>
      <c r="H52" s="47"/>
      <c r="I52" s="47"/>
      <c r="J52" s="47"/>
      <c r="K52" s="47"/>
      <c r="L52" s="47"/>
      <c r="M52" s="47"/>
      <c r="N52" s="47"/>
      <c r="O52" s="38"/>
      <c r="P52" s="38"/>
      <c r="Q52" s="38"/>
      <c r="R52" s="38"/>
      <c r="S52" s="38"/>
      <c r="T52" s="38"/>
      <c r="U52" s="38"/>
      <c r="V52" s="38"/>
      <c r="W52" s="38"/>
      <c r="X52" s="38"/>
    </row>
    <row r="53" spans="1:24" x14ac:dyDescent="0.15">
      <c r="A53" s="2" t="s">
        <v>36</v>
      </c>
      <c r="B53" s="47">
        <f t="shared" ref="B53:X53" si="25">AVERAGE(B50:B51)/B41</f>
        <v>1.6219704118851401</v>
      </c>
      <c r="C53" s="90">
        <f t="shared" si="25"/>
        <v>1.3970104101788414</v>
      </c>
      <c r="D53" s="47">
        <f t="shared" si="25"/>
        <v>1.5988470537394091</v>
      </c>
      <c r="E53" s="47">
        <f t="shared" si="25"/>
        <v>1.3778742852581054</v>
      </c>
      <c r="F53" s="47">
        <f t="shared" si="25"/>
        <v>1.5474317785140204</v>
      </c>
      <c r="G53" s="47">
        <f t="shared" si="25"/>
        <v>1.9454023593848746</v>
      </c>
      <c r="H53" s="47">
        <f t="shared" si="25"/>
        <v>1.7047438050708068</v>
      </c>
      <c r="I53" s="47">
        <f t="shared" si="25"/>
        <v>1.5224834581807951</v>
      </c>
      <c r="J53" s="47">
        <f t="shared" si="25"/>
        <v>1.1686901826623786</v>
      </c>
      <c r="K53" s="47">
        <f t="shared" si="25"/>
        <v>1.0652914955635173</v>
      </c>
      <c r="L53" s="47">
        <f t="shared" si="25"/>
        <v>1.1557724475335627</v>
      </c>
      <c r="M53" s="47">
        <f t="shared" si="25"/>
        <v>0.9456687145610011</v>
      </c>
      <c r="N53" s="47">
        <f t="shared" si="25"/>
        <v>0.71692532968810407</v>
      </c>
      <c r="O53" s="38">
        <f t="shared" si="25"/>
        <v>0.71918077791996371</v>
      </c>
      <c r="P53" s="38">
        <f t="shared" si="25"/>
        <v>0.65955861610736866</v>
      </c>
      <c r="Q53" s="38">
        <f t="shared" si="25"/>
        <v>1.01101654893113</v>
      </c>
      <c r="R53" s="38">
        <f t="shared" si="25"/>
        <v>1.1079460075079697</v>
      </c>
      <c r="S53" s="38">
        <f t="shared" si="25"/>
        <v>1.2471404344885011</v>
      </c>
      <c r="T53" s="38">
        <f t="shared" si="25"/>
        <v>1.1949159690322542</v>
      </c>
      <c r="U53" s="38">
        <f t="shared" si="25"/>
        <v>1.0624561390539715</v>
      </c>
      <c r="V53" s="38">
        <f t="shared" si="25"/>
        <v>0.9807457525743587</v>
      </c>
      <c r="W53" s="38">
        <f t="shared" si="25"/>
        <v>0.91235073531299293</v>
      </c>
      <c r="X53" s="38">
        <f t="shared" si="25"/>
        <v>0.83693264858995464</v>
      </c>
    </row>
    <row r="54" spans="1:24" x14ac:dyDescent="0.15">
      <c r="A54" s="2" t="s">
        <v>37</v>
      </c>
      <c r="B54" s="47">
        <f t="shared" ref="B54:X54" si="26">B51/B41</f>
        <v>1.5258116408306523</v>
      </c>
      <c r="C54" s="90">
        <f t="shared" si="26"/>
        <v>1.2596316398256071</v>
      </c>
      <c r="D54" s="47">
        <f t="shared" si="26"/>
        <v>1.1710623038408989</v>
      </c>
      <c r="E54" s="47">
        <f t="shared" si="26"/>
        <v>0.96307710730358931</v>
      </c>
      <c r="F54" s="47">
        <f t="shared" si="26"/>
        <v>1.32315485833133</v>
      </c>
      <c r="G54" s="47">
        <f t="shared" si="26"/>
        <v>1.6991046977038129</v>
      </c>
      <c r="H54" s="47">
        <f t="shared" si="26"/>
        <v>1.2555576788225626</v>
      </c>
      <c r="I54" s="47">
        <f t="shared" si="26"/>
        <v>0.95450689128333388</v>
      </c>
      <c r="J54" s="47">
        <f t="shared" si="26"/>
        <v>0.93779477675603606</v>
      </c>
      <c r="K54" s="47">
        <f t="shared" si="26"/>
        <v>0.92791992896731057</v>
      </c>
      <c r="L54" s="47">
        <f t="shared" si="26"/>
        <v>0.99150548615635503</v>
      </c>
      <c r="M54" s="47">
        <f t="shared" si="26"/>
        <v>0.63811026258192138</v>
      </c>
      <c r="N54" s="47">
        <f t="shared" si="26"/>
        <v>0.56970135914216158</v>
      </c>
      <c r="O54" s="38">
        <f t="shared" si="26"/>
        <v>0.61386784983548592</v>
      </c>
      <c r="P54" s="38">
        <f t="shared" si="26"/>
        <v>0.40273725258568932</v>
      </c>
      <c r="Q54" s="38">
        <f t="shared" si="26"/>
        <v>0.72352187712224003</v>
      </c>
      <c r="R54" s="38">
        <f t="shared" si="26"/>
        <v>0.86226204683838492</v>
      </c>
      <c r="S54" s="38">
        <f t="shared" si="26"/>
        <v>1.0531875962909858</v>
      </c>
      <c r="T54" s="38">
        <f t="shared" si="26"/>
        <v>1.0364406544858353</v>
      </c>
      <c r="U54" s="38">
        <f t="shared" si="26"/>
        <v>0.85886148438823473</v>
      </c>
      <c r="V54" s="38">
        <f t="shared" si="26"/>
        <v>0.71326963823589729</v>
      </c>
      <c r="W54" s="38">
        <f t="shared" si="26"/>
        <v>0.72796990608219947</v>
      </c>
      <c r="X54" s="38">
        <f t="shared" si="26"/>
        <v>0.6826187510740479</v>
      </c>
    </row>
    <row r="55" spans="1:24" x14ac:dyDescent="0.15">
      <c r="A55" s="2" t="s">
        <v>38</v>
      </c>
      <c r="B55" s="47">
        <f t="shared" ref="B55:X55" si="27">B50/B41</f>
        <v>1.7181291829396279</v>
      </c>
      <c r="C55" s="90">
        <f t="shared" si="27"/>
        <v>1.5343891805320757</v>
      </c>
      <c r="D55" s="47">
        <f t="shared" si="27"/>
        <v>2.0266318036379194</v>
      </c>
      <c r="E55" s="47">
        <f t="shared" si="27"/>
        <v>1.7926714632126213</v>
      </c>
      <c r="F55" s="47">
        <f t="shared" si="27"/>
        <v>1.7717086986967108</v>
      </c>
      <c r="G55" s="47">
        <f t="shared" si="27"/>
        <v>2.1917000210659365</v>
      </c>
      <c r="H55" s="47">
        <f t="shared" si="27"/>
        <v>2.153929931319051</v>
      </c>
      <c r="I55" s="47">
        <f t="shared" si="27"/>
        <v>2.0904600250782561</v>
      </c>
      <c r="J55" s="47">
        <f t="shared" si="27"/>
        <v>1.399585588568721</v>
      </c>
      <c r="K55" s="47">
        <f t="shared" si="27"/>
        <v>1.2026630621597239</v>
      </c>
      <c r="L55" s="47">
        <f t="shared" si="27"/>
        <v>1.3200394089107701</v>
      </c>
      <c r="M55" s="47">
        <f t="shared" si="27"/>
        <v>1.2532271665400809</v>
      </c>
      <c r="N55" s="47">
        <f t="shared" si="27"/>
        <v>0.86414930023404646</v>
      </c>
      <c r="O55" s="38">
        <f t="shared" si="27"/>
        <v>0.82449370600444161</v>
      </c>
      <c r="P55" s="38">
        <f t="shared" si="27"/>
        <v>0.91637997962904794</v>
      </c>
      <c r="Q55" s="38">
        <f t="shared" si="27"/>
        <v>1.29851122074002</v>
      </c>
      <c r="R55" s="38">
        <f t="shared" si="27"/>
        <v>1.3536299681775545</v>
      </c>
      <c r="S55" s="38">
        <f t="shared" si="27"/>
        <v>1.4410932726860164</v>
      </c>
      <c r="T55" s="38">
        <f t="shared" si="27"/>
        <v>1.353391283578673</v>
      </c>
      <c r="U55" s="38">
        <f t="shared" si="27"/>
        <v>1.2660507937197085</v>
      </c>
      <c r="V55" s="38">
        <f t="shared" si="27"/>
        <v>1.2482218669128202</v>
      </c>
      <c r="W55" s="38">
        <f t="shared" si="27"/>
        <v>1.0967315645437863</v>
      </c>
      <c r="X55" s="38">
        <f t="shared" si="27"/>
        <v>0.99124654610586138</v>
      </c>
    </row>
    <row r="56" spans="1:24" x14ac:dyDescent="0.15">
      <c r="A56" s="2" t="s">
        <v>32</v>
      </c>
      <c r="B56" s="77"/>
      <c r="C56" s="91"/>
      <c r="D56" s="77">
        <f t="shared" ref="D56:N56" si="28">AVERAGE(D50:D51)/(D37)</f>
        <v>5.4785997732426299</v>
      </c>
      <c r="E56" s="77">
        <f t="shared" si="28"/>
        <v>7.0173076923076927</v>
      </c>
      <c r="F56" s="77">
        <f t="shared" si="28"/>
        <v>9.4480564562273504</v>
      </c>
      <c r="G56" s="77">
        <f t="shared" si="28"/>
        <v>15.69063013886351</v>
      </c>
      <c r="H56" s="77">
        <f t="shared" si="28"/>
        <v>11.854817127436108</v>
      </c>
      <c r="I56" s="77">
        <f t="shared" si="28"/>
        <v>12.288519473185474</v>
      </c>
      <c r="J56" s="77">
        <f t="shared" si="28"/>
        <v>13.575789946150062</v>
      </c>
      <c r="K56" s="77">
        <f t="shared" si="28"/>
        <v>15.294742459173127</v>
      </c>
      <c r="L56" s="77">
        <f t="shared" si="28"/>
        <v>10.226978618064333</v>
      </c>
      <c r="M56" s="77">
        <f t="shared" si="28"/>
        <v>10.115423830371116</v>
      </c>
      <c r="N56" s="77">
        <f t="shared" si="28"/>
        <v>11.336405798957477</v>
      </c>
      <c r="O56" s="78">
        <f>AVERAGE(O50:O51)/O37</f>
        <v>11.766113375396577</v>
      </c>
      <c r="P56" s="78">
        <f>AVERAGE(P50:P51)/P37</f>
        <v>13.366727288616854</v>
      </c>
      <c r="Q56" s="79" t="s">
        <v>33</v>
      </c>
      <c r="R56" s="78">
        <f t="shared" ref="R56:X56" si="29">AVERAGE(R50:R51)/R37</f>
        <v>13.618857083774925</v>
      </c>
      <c r="S56" s="78">
        <f t="shared" si="29"/>
        <v>9.2160937774213583</v>
      </c>
      <c r="T56" s="78">
        <f t="shared" si="29"/>
        <v>7.7389150248972376</v>
      </c>
      <c r="U56" s="78">
        <f t="shared" si="29"/>
        <v>7.591956482435295</v>
      </c>
      <c r="V56" s="78">
        <f t="shared" si="29"/>
        <v>5.9239055007134507</v>
      </c>
      <c r="W56" s="78">
        <f t="shared" si="29"/>
        <v>6.1194186420206496</v>
      </c>
      <c r="X56" s="78">
        <f t="shared" si="29"/>
        <v>6.370577698644599</v>
      </c>
    </row>
    <row r="57" spans="1:24" x14ac:dyDescent="0.15">
      <c r="A57" s="2"/>
      <c r="B57" s="47"/>
      <c r="C57" s="90"/>
      <c r="D57" s="47"/>
      <c r="E57" s="47"/>
      <c r="F57" s="47"/>
      <c r="G57" s="47"/>
      <c r="H57" s="47"/>
      <c r="I57" s="47"/>
      <c r="J57" s="47"/>
      <c r="K57" s="47"/>
      <c r="L57" s="47"/>
      <c r="M57" s="47"/>
      <c r="N57" s="47"/>
      <c r="O57" s="38"/>
      <c r="P57" s="38"/>
      <c r="Q57" s="48"/>
      <c r="R57" s="38"/>
      <c r="S57" s="38"/>
      <c r="T57" s="38"/>
      <c r="U57" s="38"/>
      <c r="V57" s="38"/>
      <c r="W57" s="38"/>
      <c r="X57" s="38"/>
    </row>
    <row r="58" spans="1:24" x14ac:dyDescent="0.15">
      <c r="A58" s="2" t="s">
        <v>161</v>
      </c>
      <c r="B58" s="49"/>
      <c r="C58" s="92"/>
      <c r="D58" s="39">
        <f>(D34/AVERAGE('Balance Sheet Analysis'!C44:D44))</f>
        <v>0.31207727893944015</v>
      </c>
      <c r="E58" s="39">
        <f>(E34/AVERAGE('Balance Sheet Analysis'!D44:E44))</f>
        <v>0.20123333265268617</v>
      </c>
      <c r="F58" s="39">
        <f>(F34/AVERAGE('Balance Sheet Analysis'!E44:F44))</f>
        <v>0.17143277538753302</v>
      </c>
      <c r="G58" s="39">
        <f>(G34/AVERAGE('Balance Sheet Analysis'!F44:G44))</f>
        <v>0.12386749711868172</v>
      </c>
      <c r="H58" s="39">
        <f>(H34/AVERAGE('Balance Sheet Analysis'!G44:H44))</f>
        <v>0.1544517968180755</v>
      </c>
      <c r="I58" s="39">
        <f>(I34/AVERAGE('Balance Sheet Analysis'!H44:I44))</f>
        <v>0.13115229809200948</v>
      </c>
      <c r="J58" s="39">
        <f>(J34/AVERAGE('Balance Sheet Analysis'!I44:J44))</f>
        <v>8.945326710800991E-2</v>
      </c>
      <c r="K58" s="39">
        <f>(K34/AVERAGE('Balance Sheet Analysis'!J44:K44))</f>
        <v>7.2650870664475217E-2</v>
      </c>
      <c r="L58" s="39">
        <f>(L34/AVERAGE('Balance Sheet Analysis'!K44:L44))</f>
        <v>0.12120434059607918</v>
      </c>
      <c r="M58" s="39">
        <f>(M34/AVERAGE('Balance Sheet Analysis'!L44:M44))</f>
        <v>0.1004064398077488</v>
      </c>
      <c r="N58" s="51">
        <f>(N34)/AVERAGE('Balance Sheet Analysis'!M44,'Balance Sheet Analysis'!N44)</f>
        <v>6.5899097922453784E-2</v>
      </c>
      <c r="O58" s="39">
        <f>O34/AVERAGE('Balance Sheet Analysis'!N44:O44)</f>
        <v>6.3349995237287932E-2</v>
      </c>
      <c r="P58" s="39">
        <f>P34/AVERAGE('Balance Sheet Analysis'!O44:P44)</f>
        <v>5.1612412589099016E-2</v>
      </c>
      <c r="Q58" s="39">
        <f>Q34/AVERAGE('Balance Sheet Analysis'!P44:Q44)</f>
        <v>-1.2507541753737335E-2</v>
      </c>
      <c r="R58" s="39">
        <f>R34/AVERAGE('Balance Sheet Analysis'!Q44:R44)</f>
        <v>8.6376459399545219E-2</v>
      </c>
      <c r="S58" s="39">
        <f>S34/AVERAGE('Balance Sheet Analysis'!R44:S44)</f>
        <v>0.14685325686552994</v>
      </c>
      <c r="T58" s="39">
        <f>T34/AVERAGE('Balance Sheet Analysis'!S44:T44)</f>
        <v>0.16980278892075609</v>
      </c>
      <c r="U58" s="39">
        <f>U34/AVERAGE('Balance Sheet Analysis'!T44:U44)</f>
        <v>0.15798792384598878</v>
      </c>
      <c r="V58" s="39">
        <f>V34/AVERAGE('Balance Sheet Analysis'!U44:V44)</f>
        <v>0.18928542297815074</v>
      </c>
      <c r="W58" s="39">
        <f>W34/AVERAGE('Balance Sheet Analysis'!V44:W44)</f>
        <v>0.16729618351781317</v>
      </c>
      <c r="X58" s="39">
        <f>X34/AVERAGE('Balance Sheet Analysis'!W44:X44)</f>
        <v>0.13572979511457506</v>
      </c>
    </row>
    <row r="59" spans="1:24" x14ac:dyDescent="0.15">
      <c r="A59" s="2" t="s">
        <v>162</v>
      </c>
      <c r="B59" s="49"/>
      <c r="C59" s="92"/>
      <c r="D59" s="39">
        <f>D34/D17</f>
        <v>0.20340032412943326</v>
      </c>
      <c r="E59" s="39">
        <f>E34/E17</f>
        <v>0.16674562620554295</v>
      </c>
      <c r="F59" s="39">
        <f t="shared" ref="F59:X59" si="30">F34/F17</f>
        <v>0.17143137404496953</v>
      </c>
      <c r="G59" s="39">
        <f t="shared" si="30"/>
        <v>0.14010073019794059</v>
      </c>
      <c r="H59" s="39">
        <f t="shared" si="30"/>
        <v>0.15905139611574798</v>
      </c>
      <c r="I59" s="39">
        <f t="shared" si="30"/>
        <v>0.14097250303275374</v>
      </c>
      <c r="J59" s="39">
        <f t="shared" si="30"/>
        <v>9.853693321808811E-2</v>
      </c>
      <c r="K59" s="39">
        <f t="shared" si="30"/>
        <v>7.8370946693111912E-2</v>
      </c>
      <c r="L59" s="39">
        <f t="shared" si="30"/>
        <v>0.11649929188562413</v>
      </c>
      <c r="M59" s="39">
        <f t="shared" si="30"/>
        <v>9.6477090729912951E-2</v>
      </c>
      <c r="N59" s="51">
        <f t="shared" si="30"/>
        <v>7.646164274117806E-2</v>
      </c>
      <c r="O59" s="39">
        <f t="shared" si="30"/>
        <v>8.9365918398785119E-2</v>
      </c>
      <c r="P59" s="39">
        <f t="shared" si="30"/>
        <v>6.7717060712266311E-2</v>
      </c>
      <c r="Q59" s="39">
        <f t="shared" si="30"/>
        <v>-1.6630269526027499E-2</v>
      </c>
      <c r="R59" s="39">
        <f t="shared" si="30"/>
        <v>9.8918163105262288E-2</v>
      </c>
      <c r="S59" s="39">
        <f t="shared" si="30"/>
        <v>0.15574257908970332</v>
      </c>
      <c r="T59" s="39">
        <f t="shared" si="30"/>
        <v>0.15148310819875291</v>
      </c>
      <c r="U59" s="39">
        <f t="shared" si="30"/>
        <v>0.13425611366245407</v>
      </c>
      <c r="V59" s="39">
        <f t="shared" si="30"/>
        <v>0.12072035200842683</v>
      </c>
      <c r="W59" s="39">
        <f t="shared" si="30"/>
        <v>0.1113051687838716</v>
      </c>
      <c r="X59" s="39">
        <f t="shared" si="30"/>
        <v>9.4196076040038906E-2</v>
      </c>
    </row>
    <row r="60" spans="1:24" x14ac:dyDescent="0.15">
      <c r="B60" s="50"/>
      <c r="C60" s="93"/>
      <c r="D60" s="50"/>
      <c r="E60" s="50"/>
      <c r="F60" s="50"/>
      <c r="G60" s="50"/>
      <c r="H60" s="50"/>
      <c r="I60" s="50"/>
      <c r="J60" s="50"/>
      <c r="K60" s="50"/>
      <c r="L60" s="50"/>
      <c r="M60" s="50"/>
      <c r="N60" s="50"/>
      <c r="O60" s="24"/>
      <c r="P60" s="24"/>
      <c r="Q60" s="24"/>
      <c r="R60" s="24"/>
      <c r="S60" s="24"/>
      <c r="T60" s="24"/>
      <c r="U60" s="24"/>
      <c r="V60" s="24"/>
    </row>
    <row r="61" spans="1:24" x14ac:dyDescent="0.15">
      <c r="A61" s="2" t="s">
        <v>9</v>
      </c>
      <c r="B61" s="50"/>
      <c r="C61" s="93"/>
      <c r="D61" s="50"/>
      <c r="E61" s="50"/>
      <c r="F61" s="50"/>
      <c r="G61" s="50"/>
      <c r="H61" s="50"/>
      <c r="I61" s="50"/>
      <c r="J61" s="50"/>
      <c r="K61" s="50"/>
      <c r="L61" s="50"/>
      <c r="M61" s="50"/>
      <c r="N61" s="50"/>
      <c r="O61" s="24"/>
      <c r="P61" s="24"/>
      <c r="Q61" s="24"/>
      <c r="R61" s="24"/>
      <c r="S61" s="24"/>
      <c r="T61" s="24"/>
      <c r="U61" s="24"/>
      <c r="V61" s="24"/>
    </row>
    <row r="62" spans="1:24" x14ac:dyDescent="0.15">
      <c r="A62" s="1" t="s">
        <v>10</v>
      </c>
      <c r="B62" s="51">
        <f t="shared" ref="B62:X62" si="31">B20/B7</f>
        <v>0.65322598289102329</v>
      </c>
      <c r="C62" s="94">
        <f t="shared" si="31"/>
        <v>0.69229548700047605</v>
      </c>
      <c r="D62" s="51">
        <f t="shared" si="31"/>
        <v>0.69564052605942528</v>
      </c>
      <c r="E62" s="51">
        <f t="shared" si="31"/>
        <v>0.70168972630638449</v>
      </c>
      <c r="F62" s="51">
        <f t="shared" si="31"/>
        <v>0.69179879092049734</v>
      </c>
      <c r="G62" s="51">
        <f t="shared" si="31"/>
        <v>0.67935343937203052</v>
      </c>
      <c r="H62" s="51">
        <f t="shared" si="31"/>
        <v>0.68576480813610796</v>
      </c>
      <c r="I62" s="51">
        <f t="shared" si="31"/>
        <v>0.71623264084269278</v>
      </c>
      <c r="J62" s="51">
        <f t="shared" si="31"/>
        <v>0.7395086098860002</v>
      </c>
      <c r="K62" s="51">
        <f t="shared" si="31"/>
        <v>0.76399730711953839</v>
      </c>
      <c r="L62" s="51">
        <f t="shared" si="31"/>
        <v>0.75387104463284871</v>
      </c>
      <c r="M62" s="51">
        <f t="shared" si="31"/>
        <v>0.75637544377518451</v>
      </c>
      <c r="N62" s="51">
        <f t="shared" si="31"/>
        <v>0.76251057755933893</v>
      </c>
      <c r="O62" s="39">
        <f t="shared" si="31"/>
        <v>0.71697188706810278</v>
      </c>
      <c r="P62" s="39">
        <f t="shared" si="31"/>
        <v>0.71911185738049954</v>
      </c>
      <c r="Q62" s="39">
        <f t="shared" si="31"/>
        <v>0.70438842278054481</v>
      </c>
      <c r="R62" s="39">
        <f t="shared" si="31"/>
        <v>0.71256799236837975</v>
      </c>
      <c r="S62" s="39">
        <f t="shared" si="31"/>
        <v>0.70606981264564217</v>
      </c>
      <c r="T62" s="39">
        <f t="shared" si="31"/>
        <v>0.71495684404164006</v>
      </c>
      <c r="U62" s="39">
        <f t="shared" si="31"/>
        <v>0.72529683967453129</v>
      </c>
      <c r="V62" s="39">
        <f t="shared" si="31"/>
        <v>0.73974715119604539</v>
      </c>
      <c r="W62" s="39">
        <f t="shared" si="31"/>
        <v>0.74310098542840142</v>
      </c>
      <c r="X62" s="39">
        <f t="shared" si="31"/>
        <v>0.74718759591188988</v>
      </c>
    </row>
    <row r="63" spans="1:24" x14ac:dyDescent="0.15">
      <c r="A63" s="1" t="s">
        <v>11</v>
      </c>
      <c r="B63" s="51">
        <f>B21/B8</f>
        <v>2.7881188118811882E-3</v>
      </c>
      <c r="C63" s="94">
        <f t="shared" ref="C63:X63" si="32">C21/C8</f>
        <v>2.5879597247751192E-2</v>
      </c>
      <c r="D63" s="51">
        <f t="shared" si="32"/>
        <v>2.0760538182083722E-2</v>
      </c>
      <c r="E63" s="51">
        <f t="shared" si="32"/>
        <v>2.5333709801477963E-2</v>
      </c>
      <c r="F63" s="51">
        <f t="shared" si="32"/>
        <v>2.4217989330919763E-2</v>
      </c>
      <c r="G63" s="51">
        <f t="shared" si="32"/>
        <v>-2.4036199095022626E-3</v>
      </c>
      <c r="H63" s="51">
        <f t="shared" si="32"/>
        <v>2.3565500846963034E-2</v>
      </c>
      <c r="I63" s="51">
        <f t="shared" si="32"/>
        <v>1.9833172817942898E-3</v>
      </c>
      <c r="J63" s="51">
        <f t="shared" si="32"/>
        <v>3.9817441077887712E-2</v>
      </c>
      <c r="K63" s="51">
        <f t="shared" si="32"/>
        <v>4.7558629333522097E-2</v>
      </c>
      <c r="L63" s="51">
        <f t="shared" si="32"/>
        <v>-5.0190072962792544E-3</v>
      </c>
      <c r="M63" s="51">
        <f t="shared" si="32"/>
        <v>5.9337922501802046E-2</v>
      </c>
      <c r="N63" s="51">
        <f t="shared" si="32"/>
        <v>4.0996618971481096E-2</v>
      </c>
      <c r="O63" s="39">
        <f t="shared" si="32"/>
        <v>7.2158962902238138E-2</v>
      </c>
      <c r="P63" s="39">
        <f t="shared" si="32"/>
        <v>0.13619320755377531</v>
      </c>
      <c r="Q63" s="39">
        <f t="shared" si="32"/>
        <v>0.23886450837763396</v>
      </c>
      <c r="R63" s="39">
        <f t="shared" si="32"/>
        <v>0.14481482328765227</v>
      </c>
      <c r="S63" s="39">
        <f t="shared" si="32"/>
        <v>0.1054926453777225</v>
      </c>
      <c r="T63" s="39">
        <f t="shared" si="32"/>
        <v>0.10669813410909708</v>
      </c>
      <c r="U63" s="39">
        <f t="shared" si="32"/>
        <v>0.11124098272609839</v>
      </c>
      <c r="V63" s="39">
        <f t="shared" si="32"/>
        <v>0.11072365811024663</v>
      </c>
      <c r="W63" s="39">
        <f t="shared" si="32"/>
        <v>0.10210940887537109</v>
      </c>
      <c r="X63" s="39">
        <f t="shared" si="32"/>
        <v>0.11541156633837323</v>
      </c>
    </row>
    <row r="64" spans="1:24" x14ac:dyDescent="0.15">
      <c r="A64" s="1" t="s">
        <v>12</v>
      </c>
      <c r="B64" s="51">
        <f t="shared" ref="B64:X64" si="33">B22/B17</f>
        <v>0.30803791414243892</v>
      </c>
      <c r="C64" s="94">
        <f t="shared" si="33"/>
        <v>0.2241044424096118</v>
      </c>
      <c r="D64" s="51">
        <f t="shared" si="33"/>
        <v>0.19482060589138628</v>
      </c>
      <c r="E64" s="51">
        <f t="shared" si="33"/>
        <v>0.21965838719501879</v>
      </c>
      <c r="F64" s="51">
        <f t="shared" si="33"/>
        <v>0.25099453956905105</v>
      </c>
      <c r="G64" s="51">
        <f t="shared" si="33"/>
        <v>0.27871674591543527</v>
      </c>
      <c r="H64" s="51">
        <f t="shared" si="33"/>
        <v>0.2470936167843244</v>
      </c>
      <c r="I64" s="51">
        <f t="shared" si="33"/>
        <v>0.22730489284270117</v>
      </c>
      <c r="J64" s="51">
        <f t="shared" si="33"/>
        <v>0.22044966295302096</v>
      </c>
      <c r="K64" s="51">
        <f t="shared" si="33"/>
        <v>0.2048275767291243</v>
      </c>
      <c r="L64" s="51">
        <f t="shared" si="33"/>
        <v>0.20107889096950668</v>
      </c>
      <c r="M64" s="51">
        <f t="shared" si="33"/>
        <v>0.19010565359691925</v>
      </c>
      <c r="N64" s="51">
        <f t="shared" si="33"/>
        <v>0.2045814863019037</v>
      </c>
      <c r="O64" s="39">
        <f t="shared" si="33"/>
        <v>0.24815756642308712</v>
      </c>
      <c r="P64" s="39">
        <f t="shared" si="33"/>
        <v>0.25508277033091303</v>
      </c>
      <c r="Q64" s="39">
        <f t="shared" si="33"/>
        <v>0.27565524589768176</v>
      </c>
      <c r="R64" s="39">
        <f t="shared" si="33"/>
        <v>0.24509693269737368</v>
      </c>
      <c r="S64" s="39">
        <f t="shared" si="33"/>
        <v>0.23666044047583443</v>
      </c>
      <c r="T64" s="39">
        <f t="shared" si="33"/>
        <v>0.21856240799933749</v>
      </c>
      <c r="U64" s="39">
        <f t="shared" si="33"/>
        <v>0.20419728036070009</v>
      </c>
      <c r="V64" s="39">
        <f t="shared" si="33"/>
        <v>0.17223515598739539</v>
      </c>
      <c r="W64" s="39">
        <f t="shared" si="33"/>
        <v>0.17283914284702454</v>
      </c>
      <c r="X64" s="39">
        <f t="shared" si="33"/>
        <v>0.16847487190685353</v>
      </c>
    </row>
    <row r="65" spans="1:24" x14ac:dyDescent="0.15">
      <c r="A65" s="1" t="s">
        <v>26</v>
      </c>
      <c r="B65" s="51">
        <f t="shared" ref="B65:X65" si="34">SUM(B23:B28)/B8</f>
        <v>0.15711683168316831</v>
      </c>
      <c r="C65" s="94">
        <f t="shared" si="34"/>
        <v>0.10535647477918571</v>
      </c>
      <c r="D65" s="51">
        <f t="shared" si="34"/>
        <v>0.11637000931047703</v>
      </c>
      <c r="E65" s="51">
        <f t="shared" si="34"/>
        <v>0.1110272712225803</v>
      </c>
      <c r="F65" s="51">
        <f t="shared" si="34"/>
        <v>0.14611017402394372</v>
      </c>
      <c r="G65" s="51">
        <f t="shared" si="34"/>
        <v>0.14620814479638009</v>
      </c>
      <c r="H65" s="51">
        <f t="shared" si="34"/>
        <v>0.13853895318216111</v>
      </c>
      <c r="I65" s="51">
        <f t="shared" si="34"/>
        <v>0.12236169830724278</v>
      </c>
      <c r="J65" s="51">
        <f t="shared" si="34"/>
        <v>0.1309528443329521</v>
      </c>
      <c r="K65" s="51">
        <f t="shared" si="34"/>
        <v>0.12322713536110091</v>
      </c>
      <c r="L65" s="51">
        <f t="shared" si="34"/>
        <v>0.11189263154874179</v>
      </c>
      <c r="M65" s="51">
        <f t="shared" si="34"/>
        <v>0.11358046354274579</v>
      </c>
      <c r="N65" s="51">
        <f t="shared" si="34"/>
        <v>0.11891473465139228</v>
      </c>
      <c r="O65" s="39">
        <f t="shared" si="34"/>
        <v>0.15250777299912316</v>
      </c>
      <c r="P65" s="39">
        <f t="shared" si="34"/>
        <v>0.15257703649205762</v>
      </c>
      <c r="Q65" s="39">
        <f t="shared" si="34"/>
        <v>0.1855122570639931</v>
      </c>
      <c r="R65" s="39">
        <f t="shared" si="34"/>
        <v>0.19631888945341483</v>
      </c>
      <c r="S65" s="39">
        <f t="shared" si="34"/>
        <v>0.18770471738983674</v>
      </c>
      <c r="T65" s="39">
        <f t="shared" si="34"/>
        <v>0.15157228877670717</v>
      </c>
      <c r="U65" s="39">
        <f t="shared" si="34"/>
        <v>0.15184466959786658</v>
      </c>
      <c r="V65" s="39">
        <f t="shared" si="34"/>
        <v>0.12640077165821778</v>
      </c>
      <c r="W65" s="39">
        <f t="shared" si="34"/>
        <v>0.14433806269748456</v>
      </c>
      <c r="X65" s="39">
        <f t="shared" si="34"/>
        <v>0.1606323716897522</v>
      </c>
    </row>
    <row r="66" spans="1:24" x14ac:dyDescent="0.15">
      <c r="A66" s="1" t="s">
        <v>27</v>
      </c>
      <c r="B66" s="51">
        <f t="shared" ref="B66:X66" si="35">B34/B17</f>
        <v>8.964027942838923E-2</v>
      </c>
      <c r="C66" s="94">
        <f t="shared" si="35"/>
        <v>0.19177835123061129</v>
      </c>
      <c r="D66" s="51">
        <f>D34/D17</f>
        <v>0.20340032412943326</v>
      </c>
      <c r="E66" s="51">
        <f>E34/E17</f>
        <v>0.16674562620554295</v>
      </c>
      <c r="F66" s="51">
        <f t="shared" si="35"/>
        <v>0.17143137404496953</v>
      </c>
      <c r="G66" s="51">
        <f t="shared" si="35"/>
        <v>0.14010073019794059</v>
      </c>
      <c r="H66" s="51">
        <f t="shared" si="35"/>
        <v>0.15905139611574798</v>
      </c>
      <c r="I66" s="51">
        <f t="shared" si="35"/>
        <v>0.14097250303275374</v>
      </c>
      <c r="J66" s="51">
        <f t="shared" si="35"/>
        <v>9.853693321808811E-2</v>
      </c>
      <c r="K66" s="51">
        <f t="shared" si="35"/>
        <v>7.8370946693111912E-2</v>
      </c>
      <c r="L66" s="51">
        <f t="shared" si="35"/>
        <v>0.11649929188562413</v>
      </c>
      <c r="M66" s="51">
        <f t="shared" si="35"/>
        <v>9.6477090729912951E-2</v>
      </c>
      <c r="N66" s="51">
        <f t="shared" si="35"/>
        <v>7.646164274117806E-2</v>
      </c>
      <c r="O66" s="39">
        <f t="shared" si="35"/>
        <v>8.9365918398785119E-2</v>
      </c>
      <c r="P66" s="39">
        <f t="shared" si="35"/>
        <v>6.7717060712266311E-2</v>
      </c>
      <c r="Q66" s="39">
        <f t="shared" si="35"/>
        <v>-1.6630269526027499E-2</v>
      </c>
      <c r="R66" s="39">
        <f t="shared" si="35"/>
        <v>9.8918163105262288E-2</v>
      </c>
      <c r="S66" s="39">
        <f t="shared" si="35"/>
        <v>0.15574257908970332</v>
      </c>
      <c r="T66" s="39">
        <f t="shared" si="35"/>
        <v>0.15148310819875291</v>
      </c>
      <c r="U66" s="39">
        <f t="shared" si="35"/>
        <v>0.13425611366245407</v>
      </c>
      <c r="V66" s="39">
        <f t="shared" si="35"/>
        <v>0.12072035200842683</v>
      </c>
      <c r="W66" s="39">
        <f t="shared" si="35"/>
        <v>0.1113051687838716</v>
      </c>
      <c r="X66" s="39">
        <f t="shared" si="35"/>
        <v>9.4196076040038906E-2</v>
      </c>
    </row>
    <row r="67" spans="1:24" x14ac:dyDescent="0.15">
      <c r="A67" s="1" t="s">
        <v>177</v>
      </c>
      <c r="B67" s="51">
        <f t="shared" ref="B67:X67" si="36">B31/B17</f>
        <v>0.11294530276239891</v>
      </c>
      <c r="C67" s="94">
        <f t="shared" si="36"/>
        <v>0.24022586642248675</v>
      </c>
      <c r="D67" s="51">
        <f t="shared" si="36"/>
        <v>0.25776180735543158</v>
      </c>
      <c r="E67" s="51">
        <f t="shared" si="36"/>
        <v>0.21006480322154919</v>
      </c>
      <c r="F67" s="51">
        <f t="shared" si="36"/>
        <v>0.21701670826476005</v>
      </c>
      <c r="G67" s="51">
        <f t="shared" si="36"/>
        <v>0.17323162185858096</v>
      </c>
      <c r="H67" s="51">
        <f t="shared" si="36"/>
        <v>0.18728925241450994</v>
      </c>
      <c r="I67" s="51">
        <f t="shared" si="36"/>
        <v>0.20312951302639939</v>
      </c>
      <c r="J67" s="51">
        <f t="shared" si="36"/>
        <v>0.13975662686731813</v>
      </c>
      <c r="K67" s="51">
        <f t="shared" si="36"/>
        <v>0.10955633709571708</v>
      </c>
      <c r="L67" s="51">
        <f t="shared" si="36"/>
        <v>0.17063352524049674</v>
      </c>
      <c r="M67" s="51">
        <f t="shared" si="36"/>
        <v>0.13972917860700534</v>
      </c>
      <c r="N67" s="51">
        <f t="shared" si="36"/>
        <v>0.10474631592407471</v>
      </c>
      <c r="O67" s="51">
        <f t="shared" si="36"/>
        <v>0.12082041690041931</v>
      </c>
      <c r="P67" s="51">
        <f t="shared" si="36"/>
        <v>8.2960757927283496E-2</v>
      </c>
      <c r="Q67" s="51">
        <f t="shared" si="36"/>
        <v>-4.5228508293510335E-2</v>
      </c>
      <c r="R67" s="51">
        <f t="shared" si="36"/>
        <v>0.13920434000087611</v>
      </c>
      <c r="S67" s="51">
        <f t="shared" si="36"/>
        <v>0.20469032307353657</v>
      </c>
      <c r="T67" s="51">
        <f t="shared" si="36"/>
        <v>0.21167617341601608</v>
      </c>
      <c r="U67" s="51">
        <f t="shared" si="36"/>
        <v>0.19416254590238</v>
      </c>
      <c r="V67" s="51">
        <f t="shared" si="36"/>
        <v>0.17803629821295244</v>
      </c>
      <c r="W67" s="51">
        <f t="shared" si="36"/>
        <v>0.16017113520306966</v>
      </c>
      <c r="X67" s="51">
        <f t="shared" si="36"/>
        <v>0.13699111234880557</v>
      </c>
    </row>
    <row r="68" spans="1:24" x14ac:dyDescent="0.15">
      <c r="A68" s="1" t="s">
        <v>16</v>
      </c>
      <c r="B68" s="51">
        <f t="shared" ref="B68:P68" si="37">B32/B34</f>
        <v>0.25998383185125301</v>
      </c>
      <c r="C68" s="94">
        <f t="shared" si="37"/>
        <v>0.25262244085943719</v>
      </c>
      <c r="D68" s="51">
        <f>D32/D34</f>
        <v>0.26726350343181138</v>
      </c>
      <c r="E68" s="51">
        <f>E32/E34</f>
        <v>0.25979198376458651</v>
      </c>
      <c r="F68" s="51">
        <f t="shared" si="37"/>
        <v>0.2659101023587005</v>
      </c>
      <c r="G68" s="51">
        <f t="shared" si="37"/>
        <v>0.23798647907911566</v>
      </c>
      <c r="H68" s="51">
        <f t="shared" si="37"/>
        <v>0.17777259112304042</v>
      </c>
      <c r="I68" s="51">
        <f t="shared" si="37"/>
        <v>0.44132561594017311</v>
      </c>
      <c r="J68" s="51">
        <f t="shared" si="37"/>
        <v>0.41710863453967456</v>
      </c>
      <c r="K68" s="51">
        <f t="shared" si="37"/>
        <v>0.39548242170800524</v>
      </c>
      <c r="L68" s="51">
        <f t="shared" si="37"/>
        <v>0.45865540402265131</v>
      </c>
      <c r="M68" s="51">
        <f t="shared" si="37"/>
        <v>0.44035143088545137</v>
      </c>
      <c r="N68" s="51">
        <f t="shared" si="37"/>
        <v>0.3699197685124293</v>
      </c>
      <c r="O68" s="39">
        <f t="shared" si="37"/>
        <v>0.35197420969000848</v>
      </c>
      <c r="P68" s="39">
        <f t="shared" si="37"/>
        <v>0.22510866618662814</v>
      </c>
      <c r="Q68" s="52" t="s">
        <v>28</v>
      </c>
      <c r="R68" s="39">
        <f t="shared" ref="R68:X68" si="38">R32/R34</f>
        <v>0.4072677416456259</v>
      </c>
      <c r="S68" s="39">
        <f t="shared" si="38"/>
        <v>0.31428620400359975</v>
      </c>
      <c r="T68" s="39">
        <f t="shared" si="38"/>
        <v>0.39735826609978891</v>
      </c>
      <c r="U68" s="39">
        <f t="shared" si="38"/>
        <v>0.44621008761315945</v>
      </c>
      <c r="V68" s="39">
        <f t="shared" si="38"/>
        <v>0.47478279553496239</v>
      </c>
      <c r="W68" s="39">
        <f t="shared" si="38"/>
        <v>0.43902692887591099</v>
      </c>
      <c r="X68" s="39">
        <f t="shared" si="38"/>
        <v>0.45431867342941368</v>
      </c>
    </row>
    <row r="69" spans="1:24" x14ac:dyDescent="0.15">
      <c r="A69" s="1" t="s">
        <v>29</v>
      </c>
      <c r="B69" s="51">
        <f t="shared" ref="B69:X69" si="39">B6/B8</f>
        <v>0.27592871287128712</v>
      </c>
      <c r="C69" s="94">
        <f t="shared" si="39"/>
        <v>0.28238202905151522</v>
      </c>
      <c r="D69" s="51">
        <f t="shared" si="39"/>
        <v>0.25041532029866548</v>
      </c>
      <c r="E69" s="51">
        <f t="shared" si="39"/>
        <v>0.25900359267444917</v>
      </c>
      <c r="F69" s="51">
        <f t="shared" si="39"/>
        <v>0.27864401201300038</v>
      </c>
      <c r="G69" s="51">
        <f t="shared" si="39"/>
        <v>0.29904072398190046</v>
      </c>
      <c r="H69" s="51">
        <f t="shared" si="39"/>
        <v>0.28757597756615566</v>
      </c>
      <c r="I69" s="51">
        <f t="shared" si="39"/>
        <v>0.27475881882437442</v>
      </c>
      <c r="J69" s="51">
        <f t="shared" si="39"/>
        <v>0.2525037366742533</v>
      </c>
      <c r="K69" s="51">
        <f t="shared" si="39"/>
        <v>0.21877277231740305</v>
      </c>
      <c r="L69" s="51">
        <f t="shared" si="39"/>
        <v>0.21786298621819772</v>
      </c>
      <c r="M69" s="51">
        <f t="shared" si="39"/>
        <v>0.23221566596634521</v>
      </c>
      <c r="N69" s="51">
        <f t="shared" si="39"/>
        <v>0.20220909939248491</v>
      </c>
      <c r="O69" s="39">
        <f t="shared" si="39"/>
        <v>0.29222959107660562</v>
      </c>
      <c r="P69" s="39">
        <f t="shared" si="39"/>
        <v>0.34549103502132106</v>
      </c>
      <c r="Q69" s="39">
        <f t="shared" si="39"/>
        <v>0.38189094886105623</v>
      </c>
      <c r="R69" s="39">
        <f t="shared" si="39"/>
        <v>0.42999999614197471</v>
      </c>
      <c r="S69" s="39">
        <f t="shared" si="39"/>
        <v>0.46099999591147517</v>
      </c>
      <c r="T69" s="39">
        <f t="shared" si="39"/>
        <v>0.44600000475678542</v>
      </c>
      <c r="U69" s="39">
        <f t="shared" si="39"/>
        <v>0.43999999888540819</v>
      </c>
      <c r="V69" s="39">
        <f t="shared" si="39"/>
        <v>0.36999999475736811</v>
      </c>
      <c r="W69" s="39">
        <f t="shared" si="39"/>
        <v>0.35999999821690243</v>
      </c>
      <c r="X69" s="39">
        <f t="shared" si="39"/>
        <v>0.36100000433669449</v>
      </c>
    </row>
    <row r="70" spans="1:24" x14ac:dyDescent="0.15">
      <c r="A70" s="1" t="s">
        <v>183</v>
      </c>
      <c r="B70" s="51">
        <f t="shared" ref="B70:X70" si="40">B7/B8</f>
        <v>0.72407128712871283</v>
      </c>
      <c r="C70" s="94">
        <f t="shared" si="40"/>
        <v>0.71761797094848478</v>
      </c>
      <c r="D70" s="51">
        <f t="shared" si="40"/>
        <v>0.74958467970133447</v>
      </c>
      <c r="E70" s="51">
        <f t="shared" si="40"/>
        <v>0.74099640732555083</v>
      </c>
      <c r="F70" s="51">
        <f t="shared" si="40"/>
        <v>0.72135598798699962</v>
      </c>
      <c r="G70" s="51">
        <f t="shared" si="40"/>
        <v>0.7009592760180996</v>
      </c>
      <c r="H70" s="51">
        <f t="shared" si="40"/>
        <v>0.71242402243384439</v>
      </c>
      <c r="I70" s="51">
        <f t="shared" si="40"/>
        <v>0.72524118117562564</v>
      </c>
      <c r="J70" s="51">
        <f t="shared" si="40"/>
        <v>0.7474962633257467</v>
      </c>
      <c r="K70" s="51">
        <f t="shared" si="40"/>
        <v>0.781227227682597</v>
      </c>
      <c r="L70" s="51">
        <f t="shared" si="40"/>
        <v>0.78213701378180223</v>
      </c>
      <c r="M70" s="51">
        <f t="shared" si="40"/>
        <v>0.76778433403365476</v>
      </c>
      <c r="N70" s="51">
        <f t="shared" si="40"/>
        <v>0.79779090060751512</v>
      </c>
      <c r="O70" s="51">
        <f t="shared" si="40"/>
        <v>0.70777040892339438</v>
      </c>
      <c r="P70" s="51">
        <f t="shared" si="40"/>
        <v>0.65450896497867894</v>
      </c>
      <c r="Q70" s="51">
        <f t="shared" si="40"/>
        <v>0.61810905113894377</v>
      </c>
      <c r="R70" s="51">
        <f t="shared" si="40"/>
        <v>0.57000000385802529</v>
      </c>
      <c r="S70" s="51">
        <f t="shared" si="40"/>
        <v>0.53900000408852489</v>
      </c>
      <c r="T70" s="51">
        <f t="shared" si="40"/>
        <v>0.55399999524321453</v>
      </c>
      <c r="U70" s="51">
        <f t="shared" si="40"/>
        <v>0.56000000111459181</v>
      </c>
      <c r="V70" s="51">
        <f t="shared" si="40"/>
        <v>0.63000000524263189</v>
      </c>
      <c r="W70" s="51">
        <f t="shared" si="40"/>
        <v>0.64000000178309757</v>
      </c>
      <c r="X70" s="51">
        <f t="shared" si="40"/>
        <v>0.63899999566330545</v>
      </c>
    </row>
    <row r="71" spans="1:24" x14ac:dyDescent="0.15">
      <c r="B71" s="51"/>
      <c r="C71" s="94"/>
      <c r="D71" s="51"/>
      <c r="E71" s="51"/>
      <c r="F71" s="51"/>
      <c r="G71" s="51"/>
      <c r="H71" s="51"/>
      <c r="I71" s="51"/>
      <c r="J71" s="51"/>
      <c r="K71" s="51"/>
      <c r="L71" s="51"/>
      <c r="M71" s="51"/>
      <c r="N71" s="51"/>
      <c r="O71" s="51"/>
      <c r="P71" s="51"/>
      <c r="Q71" s="51"/>
      <c r="R71" s="51"/>
      <c r="S71" s="51"/>
      <c r="T71" s="51"/>
      <c r="U71" s="51"/>
      <c r="V71" s="51"/>
      <c r="W71" s="51"/>
      <c r="X71" s="51"/>
    </row>
    <row r="72" spans="1:24" x14ac:dyDescent="0.15">
      <c r="B72" s="51"/>
      <c r="C72" s="94"/>
      <c r="D72" s="51"/>
      <c r="E72" s="51"/>
      <c r="F72" s="51"/>
      <c r="G72" s="51"/>
      <c r="H72" s="51"/>
      <c r="I72" s="51"/>
      <c r="J72" s="51"/>
      <c r="K72" s="51"/>
      <c r="L72" s="51"/>
      <c r="M72" s="51"/>
      <c r="N72" s="51"/>
      <c r="O72" s="51"/>
      <c r="P72" s="51"/>
      <c r="Q72" s="51"/>
      <c r="R72" s="51"/>
      <c r="S72" s="51"/>
      <c r="T72" s="51"/>
      <c r="U72" s="51"/>
      <c r="V72" s="51"/>
      <c r="W72" s="51"/>
      <c r="X72" s="51"/>
    </row>
    <row r="73" spans="1:24" x14ac:dyDescent="0.15">
      <c r="C73" s="84"/>
    </row>
    <row r="74" spans="1:24" x14ac:dyDescent="0.15">
      <c r="A74" s="7" t="s">
        <v>179</v>
      </c>
      <c r="C74" s="84"/>
    </row>
    <row r="75" spans="1:24" x14ac:dyDescent="0.15">
      <c r="A75" s="1" t="s">
        <v>180</v>
      </c>
      <c r="B75" s="40">
        <f t="shared" ref="B75:X75" si="41">B8/B17</f>
        <v>0.91488159077074693</v>
      </c>
      <c r="C75" s="89">
        <f t="shared" si="41"/>
        <v>0.85292322206498516</v>
      </c>
      <c r="D75" s="40">
        <f t="shared" si="41"/>
        <v>0.83121900588167452</v>
      </c>
      <c r="E75" s="40">
        <f t="shared" si="41"/>
        <v>0.86891306554769721</v>
      </c>
      <c r="F75" s="40">
        <f t="shared" si="41"/>
        <v>0.7947706292029515</v>
      </c>
      <c r="G75" s="40">
        <f t="shared" si="41"/>
        <v>0.88394908453273091</v>
      </c>
      <c r="H75" s="40">
        <f t="shared" si="41"/>
        <v>0.86929782771442887</v>
      </c>
      <c r="I75" s="40">
        <f t="shared" si="41"/>
        <v>0.88471203281150712</v>
      </c>
      <c r="J75" s="40">
        <f t="shared" si="41"/>
        <v>0.88424231395089148</v>
      </c>
      <c r="K75" s="40">
        <f t="shared" si="41"/>
        <v>0.89314647260056401</v>
      </c>
      <c r="L75" s="40">
        <f t="shared" si="41"/>
        <v>0.90205873756887023</v>
      </c>
      <c r="M75" s="40">
        <f t="shared" si="41"/>
        <v>0.88922409989122964</v>
      </c>
      <c r="N75" s="40">
        <f t="shared" si="41"/>
        <v>0.899037247066102</v>
      </c>
      <c r="O75" s="40">
        <f t="shared" si="41"/>
        <v>0.86191273220743614</v>
      </c>
      <c r="P75" s="40">
        <f t="shared" si="41"/>
        <v>0.8716428947262137</v>
      </c>
      <c r="Q75" s="40">
        <f t="shared" si="41"/>
        <v>0.8950965704454974</v>
      </c>
      <c r="R75" s="40">
        <f t="shared" si="41"/>
        <v>0.82390045608261053</v>
      </c>
      <c r="S75" s="40">
        <f t="shared" si="41"/>
        <v>0.82914061179671816</v>
      </c>
      <c r="T75" s="40">
        <f t="shared" si="41"/>
        <v>0.87072017918917965</v>
      </c>
      <c r="U75" s="40">
        <f t="shared" si="41"/>
        <v>0.89897419597126171</v>
      </c>
      <c r="V75" s="40">
        <f t="shared" si="41"/>
        <v>0.92400562806039876</v>
      </c>
      <c r="W75" s="40">
        <f t="shared" si="41"/>
        <v>0.92376740403945845</v>
      </c>
      <c r="X75" s="40">
        <f t="shared" si="41"/>
        <v>0.92174778690485992</v>
      </c>
    </row>
    <row r="76" spans="1:24" x14ac:dyDescent="0.15">
      <c r="A76" s="1" t="s">
        <v>181</v>
      </c>
      <c r="B76" s="40">
        <f t="shared" ref="B76:X76" si="42">B15/B17</f>
        <v>0</v>
      </c>
      <c r="C76" s="89">
        <f t="shared" si="42"/>
        <v>0</v>
      </c>
      <c r="D76" s="40">
        <f t="shared" si="42"/>
        <v>0</v>
      </c>
      <c r="E76" s="40">
        <f t="shared" si="42"/>
        <v>0</v>
      </c>
      <c r="F76" s="40">
        <f t="shared" si="42"/>
        <v>0</v>
      </c>
      <c r="G76" s="40">
        <f t="shared" si="42"/>
        <v>0</v>
      </c>
      <c r="H76" s="40">
        <f t="shared" si="42"/>
        <v>0</v>
      </c>
      <c r="I76" s="40">
        <f t="shared" si="42"/>
        <v>0</v>
      </c>
      <c r="J76" s="40">
        <f t="shared" si="42"/>
        <v>0</v>
      </c>
      <c r="K76" s="40">
        <f t="shared" si="42"/>
        <v>0</v>
      </c>
      <c r="L76" s="40">
        <f t="shared" si="42"/>
        <v>0</v>
      </c>
      <c r="M76" s="40">
        <f t="shared" si="42"/>
        <v>0</v>
      </c>
      <c r="N76" s="40">
        <f t="shared" si="42"/>
        <v>0</v>
      </c>
      <c r="O76" s="40">
        <f t="shared" si="42"/>
        <v>0</v>
      </c>
      <c r="P76" s="40">
        <f t="shared" si="42"/>
        <v>1.2773124422226011E-2</v>
      </c>
      <c r="Q76" s="40">
        <f t="shared" si="42"/>
        <v>1.6396056418166764E-2</v>
      </c>
      <c r="R76" s="40">
        <f t="shared" si="42"/>
        <v>5.1094244731131389E-2</v>
      </c>
      <c r="S76" s="40">
        <f t="shared" si="42"/>
        <v>7.0634370321527626E-2</v>
      </c>
      <c r="T76" s="40">
        <f t="shared" si="42"/>
        <v>5.1693770272631799E-2</v>
      </c>
      <c r="U76" s="40">
        <f t="shared" si="42"/>
        <v>3.5093270670261668E-2</v>
      </c>
      <c r="V76" s="40">
        <f t="shared" si="42"/>
        <v>1.3709520736850986E-2</v>
      </c>
      <c r="W76" s="40">
        <f t="shared" si="42"/>
        <v>1.3004743567605379E-2</v>
      </c>
      <c r="X76" s="40">
        <f t="shared" si="42"/>
        <v>1.5963536120930936E-2</v>
      </c>
    </row>
    <row r="77" spans="1:24" x14ac:dyDescent="0.15">
      <c r="A77" s="1" t="s">
        <v>182</v>
      </c>
      <c r="B77" s="40">
        <f t="shared" ref="B77:X77" si="43">(SUM(B9:B14)+B16)/B17</f>
        <v>8.5118409229253025E-2</v>
      </c>
      <c r="C77" s="89">
        <f t="shared" si="43"/>
        <v>0.14707677793501484</v>
      </c>
      <c r="D77" s="40">
        <f t="shared" si="43"/>
        <v>0.16878099411832545</v>
      </c>
      <c r="E77" s="40">
        <f t="shared" si="43"/>
        <v>0.13108693445230279</v>
      </c>
      <c r="F77" s="40">
        <f t="shared" si="43"/>
        <v>0.20522937079704853</v>
      </c>
      <c r="G77" s="40">
        <f t="shared" si="43"/>
        <v>0.11605091546726909</v>
      </c>
      <c r="H77" s="40">
        <f t="shared" si="43"/>
        <v>0.1307021722855711</v>
      </c>
      <c r="I77" s="40">
        <f t="shared" si="43"/>
        <v>0.11528796718849287</v>
      </c>
      <c r="J77" s="40">
        <f t="shared" si="43"/>
        <v>0.11575768604910852</v>
      </c>
      <c r="K77" s="40">
        <f t="shared" si="43"/>
        <v>0.10685352739943603</v>
      </c>
      <c r="L77" s="40">
        <f t="shared" si="43"/>
        <v>9.7941262431129827E-2</v>
      </c>
      <c r="M77" s="40">
        <f t="shared" si="43"/>
        <v>0.11077590010877041</v>
      </c>
      <c r="N77" s="40">
        <f t="shared" si="43"/>
        <v>0.10096275293389802</v>
      </c>
      <c r="O77" s="40">
        <f t="shared" si="43"/>
        <v>0.13808726779256383</v>
      </c>
      <c r="P77" s="40">
        <f t="shared" si="43"/>
        <v>0.11558398085156033</v>
      </c>
      <c r="Q77" s="40">
        <f t="shared" si="43"/>
        <v>8.8507373136335804E-2</v>
      </c>
      <c r="R77" s="40">
        <f t="shared" si="43"/>
        <v>0.12500529918625808</v>
      </c>
      <c r="S77" s="40">
        <f t="shared" si="43"/>
        <v>0.10022501788175425</v>
      </c>
      <c r="T77" s="40">
        <f t="shared" si="43"/>
        <v>7.7586050538188581E-2</v>
      </c>
      <c r="U77" s="40">
        <f t="shared" si="43"/>
        <v>6.5932533358476583E-2</v>
      </c>
      <c r="V77" s="40">
        <f t="shared" si="43"/>
        <v>6.2284851202750249E-2</v>
      </c>
      <c r="W77" s="40">
        <f t="shared" si="43"/>
        <v>6.3227852392936171E-2</v>
      </c>
      <c r="X77" s="40">
        <f t="shared" si="43"/>
        <v>6.2288676974209096E-2</v>
      </c>
    </row>
    <row r="78" spans="1:24" ht="13" thickBot="1" x14ac:dyDescent="0.2">
      <c r="A78" s="1" t="s">
        <v>167</v>
      </c>
      <c r="B78" s="53">
        <f t="shared" ref="B78:K78" si="44">SUM(B75:B77)</f>
        <v>1</v>
      </c>
      <c r="C78" s="95">
        <f t="shared" ref="C78" si="45">SUM(C75:C77)</f>
        <v>1</v>
      </c>
      <c r="D78" s="53">
        <f t="shared" si="44"/>
        <v>1</v>
      </c>
      <c r="E78" s="53">
        <f t="shared" si="44"/>
        <v>1</v>
      </c>
      <c r="F78" s="53">
        <f t="shared" si="44"/>
        <v>1</v>
      </c>
      <c r="G78" s="53">
        <f t="shared" si="44"/>
        <v>1</v>
      </c>
      <c r="H78" s="53">
        <f t="shared" si="44"/>
        <v>1</v>
      </c>
      <c r="I78" s="53">
        <f t="shared" si="44"/>
        <v>1</v>
      </c>
      <c r="J78" s="53">
        <f t="shared" si="44"/>
        <v>1</v>
      </c>
      <c r="K78" s="53">
        <f t="shared" si="44"/>
        <v>1</v>
      </c>
      <c r="L78" s="53">
        <f t="shared" ref="L78:M78" si="46">SUM(L75:L77)</f>
        <v>1</v>
      </c>
      <c r="M78" s="53">
        <f t="shared" si="46"/>
        <v>1</v>
      </c>
      <c r="N78" s="53">
        <f>SUM(N75:N77)</f>
        <v>1</v>
      </c>
      <c r="O78" s="53">
        <f t="shared" ref="O78:X78" si="47">SUM(O75:O77)</f>
        <v>1</v>
      </c>
      <c r="P78" s="53">
        <f t="shared" si="47"/>
        <v>1</v>
      </c>
      <c r="Q78" s="53">
        <f t="shared" si="47"/>
        <v>1</v>
      </c>
      <c r="R78" s="53">
        <f t="shared" si="47"/>
        <v>1</v>
      </c>
      <c r="S78" s="53">
        <f t="shared" si="47"/>
        <v>1</v>
      </c>
      <c r="T78" s="53">
        <f t="shared" si="47"/>
        <v>1</v>
      </c>
      <c r="U78" s="53">
        <f t="shared" si="47"/>
        <v>1</v>
      </c>
      <c r="V78" s="53">
        <f t="shared" si="47"/>
        <v>1</v>
      </c>
      <c r="W78" s="53">
        <f t="shared" si="47"/>
        <v>1</v>
      </c>
      <c r="X78" s="53">
        <f t="shared" si="47"/>
        <v>1</v>
      </c>
    </row>
    <row r="79" spans="1:24" ht="13" thickTop="1" x14ac:dyDescent="0.15">
      <c r="C79" s="84"/>
    </row>
    <row r="80" spans="1:24" x14ac:dyDescent="0.15">
      <c r="A80" s="2" t="s">
        <v>186</v>
      </c>
      <c r="C80" s="84"/>
    </row>
    <row r="81" spans="1:24" x14ac:dyDescent="0.15">
      <c r="A81" s="1" t="s">
        <v>187</v>
      </c>
      <c r="B81" s="39">
        <f t="shared" ref="B81:X81" si="48">B7/B8</f>
        <v>0.72407128712871283</v>
      </c>
      <c r="C81" s="94">
        <f t="shared" si="48"/>
        <v>0.71761797094848478</v>
      </c>
      <c r="D81" s="39">
        <f t="shared" si="48"/>
        <v>0.74958467970133447</v>
      </c>
      <c r="E81" s="39">
        <f t="shared" si="48"/>
        <v>0.74099640732555083</v>
      </c>
      <c r="F81" s="39">
        <f t="shared" si="48"/>
        <v>0.72135598798699962</v>
      </c>
      <c r="G81" s="39">
        <f t="shared" si="48"/>
        <v>0.7009592760180996</v>
      </c>
      <c r="H81" s="39">
        <f t="shared" si="48"/>
        <v>0.71242402243384439</v>
      </c>
      <c r="I81" s="39">
        <f t="shared" si="48"/>
        <v>0.72524118117562564</v>
      </c>
      <c r="J81" s="39">
        <f t="shared" si="48"/>
        <v>0.7474962633257467</v>
      </c>
      <c r="K81" s="39">
        <f t="shared" si="48"/>
        <v>0.781227227682597</v>
      </c>
      <c r="L81" s="39">
        <f t="shared" si="48"/>
        <v>0.78213701378180223</v>
      </c>
      <c r="M81" s="39">
        <f t="shared" si="48"/>
        <v>0.76778433403365476</v>
      </c>
      <c r="N81" s="39">
        <f t="shared" si="48"/>
        <v>0.79779090060751512</v>
      </c>
      <c r="O81" s="39">
        <f t="shared" si="48"/>
        <v>0.70777040892339438</v>
      </c>
      <c r="P81" s="39">
        <f t="shared" si="48"/>
        <v>0.65450896497867894</v>
      </c>
      <c r="Q81" s="39">
        <f t="shared" si="48"/>
        <v>0.61810905113894377</v>
      </c>
      <c r="R81" s="39">
        <f t="shared" si="48"/>
        <v>0.57000000385802529</v>
      </c>
      <c r="S81" s="39">
        <f t="shared" si="48"/>
        <v>0.53900000408852489</v>
      </c>
      <c r="T81" s="39">
        <f t="shared" si="48"/>
        <v>0.55399999524321453</v>
      </c>
      <c r="U81" s="39">
        <f t="shared" si="48"/>
        <v>0.56000000111459181</v>
      </c>
      <c r="V81" s="39">
        <f t="shared" si="48"/>
        <v>0.63000000524263189</v>
      </c>
      <c r="W81" s="39">
        <f t="shared" si="48"/>
        <v>0.64000000178309757</v>
      </c>
      <c r="X81" s="39">
        <f t="shared" si="48"/>
        <v>0.63899999566330545</v>
      </c>
    </row>
    <row r="82" spans="1:24" x14ac:dyDescent="0.15">
      <c r="A82" s="1" t="s">
        <v>188</v>
      </c>
      <c r="B82" s="39">
        <f t="shared" ref="B82:X82" si="49">B6/B8</f>
        <v>0.27592871287128712</v>
      </c>
      <c r="C82" s="94">
        <f t="shared" si="49"/>
        <v>0.28238202905151522</v>
      </c>
      <c r="D82" s="39">
        <f t="shared" si="49"/>
        <v>0.25041532029866548</v>
      </c>
      <c r="E82" s="39">
        <f t="shared" si="49"/>
        <v>0.25900359267444917</v>
      </c>
      <c r="F82" s="39">
        <f t="shared" si="49"/>
        <v>0.27864401201300038</v>
      </c>
      <c r="G82" s="39">
        <f t="shared" si="49"/>
        <v>0.29904072398190046</v>
      </c>
      <c r="H82" s="39">
        <f t="shared" si="49"/>
        <v>0.28757597756615566</v>
      </c>
      <c r="I82" s="39">
        <f t="shared" si="49"/>
        <v>0.27475881882437442</v>
      </c>
      <c r="J82" s="39">
        <f t="shared" si="49"/>
        <v>0.2525037366742533</v>
      </c>
      <c r="K82" s="39">
        <f t="shared" si="49"/>
        <v>0.21877277231740305</v>
      </c>
      <c r="L82" s="39">
        <f t="shared" si="49"/>
        <v>0.21786298621819772</v>
      </c>
      <c r="M82" s="39">
        <f t="shared" si="49"/>
        <v>0.23221566596634521</v>
      </c>
      <c r="N82" s="39">
        <f t="shared" si="49"/>
        <v>0.20220909939248491</v>
      </c>
      <c r="O82" s="39">
        <f t="shared" si="49"/>
        <v>0.29222959107660562</v>
      </c>
      <c r="P82" s="39">
        <f t="shared" si="49"/>
        <v>0.34549103502132106</v>
      </c>
      <c r="Q82" s="39">
        <f t="shared" si="49"/>
        <v>0.38189094886105623</v>
      </c>
      <c r="R82" s="39">
        <f t="shared" si="49"/>
        <v>0.42999999614197471</v>
      </c>
      <c r="S82" s="39">
        <f t="shared" si="49"/>
        <v>0.46099999591147517</v>
      </c>
      <c r="T82" s="39">
        <f t="shared" si="49"/>
        <v>0.44600000475678542</v>
      </c>
      <c r="U82" s="39">
        <f t="shared" si="49"/>
        <v>0.43999999888540819</v>
      </c>
      <c r="V82" s="39">
        <f t="shared" si="49"/>
        <v>0.36999999475736811</v>
      </c>
      <c r="W82" s="39">
        <f t="shared" si="49"/>
        <v>0.35999999821690243</v>
      </c>
      <c r="X82" s="39">
        <f t="shared" si="49"/>
        <v>0.36100000433669449</v>
      </c>
    </row>
    <row r="83" spans="1:24" ht="13" thickBot="1" x14ac:dyDescent="0.2">
      <c r="A83" s="61" t="s">
        <v>167</v>
      </c>
      <c r="B83" s="62">
        <f t="shared" ref="B83:K83" si="50">SUM(B81:B82)</f>
        <v>1</v>
      </c>
      <c r="C83" s="96">
        <f t="shared" ref="C83" si="51">SUM(C81:C82)</f>
        <v>1</v>
      </c>
      <c r="D83" s="62">
        <f t="shared" si="50"/>
        <v>1</v>
      </c>
      <c r="E83" s="62">
        <f t="shared" si="50"/>
        <v>1</v>
      </c>
      <c r="F83" s="62">
        <f t="shared" si="50"/>
        <v>1</v>
      </c>
      <c r="G83" s="62">
        <f t="shared" si="50"/>
        <v>1</v>
      </c>
      <c r="H83" s="62">
        <f t="shared" si="50"/>
        <v>1</v>
      </c>
      <c r="I83" s="62">
        <f t="shared" si="50"/>
        <v>1</v>
      </c>
      <c r="J83" s="62">
        <f t="shared" si="50"/>
        <v>1</v>
      </c>
      <c r="K83" s="62">
        <f t="shared" si="50"/>
        <v>1</v>
      </c>
      <c r="L83" s="62">
        <f t="shared" ref="L83:M83" si="52">SUM(L81:L82)</f>
        <v>1</v>
      </c>
      <c r="M83" s="62">
        <f t="shared" si="52"/>
        <v>1</v>
      </c>
      <c r="N83" s="62">
        <f>SUM(N81:N82)</f>
        <v>1</v>
      </c>
      <c r="O83" s="62">
        <f t="shared" ref="O83:X83" si="53">SUM(O81:O82)</f>
        <v>1</v>
      </c>
      <c r="P83" s="62">
        <f t="shared" si="53"/>
        <v>1</v>
      </c>
      <c r="Q83" s="62">
        <f t="shared" si="53"/>
        <v>1</v>
      </c>
      <c r="R83" s="62">
        <f t="shared" si="53"/>
        <v>1</v>
      </c>
      <c r="S83" s="62">
        <f t="shared" si="53"/>
        <v>1</v>
      </c>
      <c r="T83" s="62">
        <f t="shared" si="53"/>
        <v>1</v>
      </c>
      <c r="U83" s="62">
        <f t="shared" si="53"/>
        <v>1</v>
      </c>
      <c r="V83" s="62">
        <f t="shared" si="53"/>
        <v>1</v>
      </c>
      <c r="W83" s="62">
        <f t="shared" si="53"/>
        <v>1</v>
      </c>
      <c r="X83" s="62">
        <f t="shared" si="53"/>
        <v>1</v>
      </c>
    </row>
    <row r="84" spans="1:24" ht="13" thickTop="1" x14ac:dyDescent="0.15"/>
    <row r="85" spans="1:24" x14ac:dyDescent="0.15">
      <c r="A85" s="105" t="s">
        <v>241</v>
      </c>
      <c r="B85" s="105"/>
    </row>
    <row r="86" spans="1:24" x14ac:dyDescent="0.15">
      <c r="A86" s="1" t="s">
        <v>10</v>
      </c>
      <c r="B86" s="8">
        <f>AVERAGE(D62:X62)</f>
        <v>0.72267344300503444</v>
      </c>
      <c r="D86" s="8"/>
    </row>
    <row r="87" spans="1:24" x14ac:dyDescent="0.15">
      <c r="A87" s="1" t="s">
        <v>11</v>
      </c>
      <c r="B87" s="8">
        <f>AVERAGE(D63:X63)</f>
        <v>7.2374139894302802E-2</v>
      </c>
      <c r="D87" s="8"/>
    </row>
    <row r="88" spans="1:24" x14ac:dyDescent="0.15">
      <c r="A88" s="1" t="s">
        <v>12</v>
      </c>
      <c r="B88" s="8">
        <f>AVERAGE(D64:X64)</f>
        <v>0.2207901844606949</v>
      </c>
      <c r="D88" s="8"/>
    </row>
    <row r="89" spans="1:24" x14ac:dyDescent="0.15">
      <c r="A89" s="1" t="s">
        <v>13</v>
      </c>
      <c r="B89" s="8">
        <f>AVERAGE(D65:X65)</f>
        <v>0.14231394752848436</v>
      </c>
      <c r="D89" s="8"/>
    </row>
    <row r="90" spans="1:24" x14ac:dyDescent="0.15">
      <c r="A90" s="1" t="s">
        <v>30</v>
      </c>
      <c r="B90" s="8">
        <f>AVERAGE(D66:X66)</f>
        <v>0.11691057759370656</v>
      </c>
      <c r="D90" s="8"/>
    </row>
  </sheetData>
  <mergeCells count="10">
    <mergeCell ref="H24:H28"/>
    <mergeCell ref="I24:I28"/>
    <mergeCell ref="A1:B1"/>
    <mergeCell ref="A85:B85"/>
    <mergeCell ref="G24:G28"/>
    <mergeCell ref="B24:B28"/>
    <mergeCell ref="D24:D28"/>
    <mergeCell ref="E24:E28"/>
    <mergeCell ref="F24:F28"/>
    <mergeCell ref="C24:C28"/>
  </mergeCells>
  <printOptions gridLines="1"/>
  <pageMargins left="0.7" right="0.7" top="0.75" bottom="0.75" header="0.3" footer="0.3"/>
  <pageSetup scale="55" orientation="landscape" r:id="rId1"/>
  <ignoredErrors>
    <ignoredError sqref="C65:X65 D44:G44 B65 H44:W44" formulaRange="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88"/>
  <sheetViews>
    <sheetView zoomScale="140" zoomScaleNormal="140" workbookViewId="0">
      <pane ySplit="3" topLeftCell="A4" activePane="bottomLeft" state="frozen"/>
      <selection pane="bottomLeft"/>
    </sheetView>
  </sheetViews>
  <sheetFormatPr baseColWidth="10" defaultColWidth="9.1640625" defaultRowHeight="12" x14ac:dyDescent="0.15"/>
  <cols>
    <col min="1" max="1" width="40.5" style="1" customWidth="1"/>
    <col min="2" max="22" width="10.33203125" style="1" customWidth="1"/>
    <col min="23" max="16384" width="9.1640625" style="1"/>
  </cols>
  <sheetData>
    <row r="1" spans="1:16" ht="15" x14ac:dyDescent="0.2">
      <c r="A1" s="65" t="s">
        <v>246</v>
      </c>
      <c r="B1" s="67"/>
      <c r="C1" s="67"/>
    </row>
    <row r="2" spans="1:16" x14ac:dyDescent="0.15">
      <c r="A2" s="7" t="s">
        <v>218</v>
      </c>
      <c r="B2" s="7"/>
    </row>
    <row r="3" spans="1:16" x14ac:dyDescent="0.15">
      <c r="A3" s="68"/>
      <c r="B3" s="69">
        <v>2021</v>
      </c>
      <c r="C3" s="69">
        <v>2020</v>
      </c>
      <c r="D3" s="69">
        <v>2019</v>
      </c>
      <c r="E3" s="69">
        <v>2018</v>
      </c>
      <c r="F3" s="69">
        <v>2017</v>
      </c>
      <c r="G3" s="69">
        <v>2016</v>
      </c>
      <c r="H3" s="69">
        <v>2015</v>
      </c>
      <c r="I3" s="69">
        <v>2014</v>
      </c>
      <c r="J3" s="69">
        <v>2013</v>
      </c>
      <c r="K3" s="69">
        <v>2012</v>
      </c>
      <c r="L3" s="69">
        <v>2011</v>
      </c>
      <c r="M3" s="69">
        <v>2010</v>
      </c>
      <c r="N3" s="69">
        <v>2009</v>
      </c>
    </row>
    <row r="4" spans="1:16" x14ac:dyDescent="0.15">
      <c r="A4" s="2" t="s">
        <v>190</v>
      </c>
      <c r="B4" s="2"/>
      <c r="C4" s="2"/>
      <c r="D4" s="2"/>
      <c r="E4" s="2"/>
      <c r="F4" s="2"/>
      <c r="G4" s="2"/>
      <c r="H4" s="2"/>
      <c r="I4" s="2"/>
    </row>
    <row r="5" spans="1:16" x14ac:dyDescent="0.15">
      <c r="A5" s="2" t="s">
        <v>191</v>
      </c>
      <c r="B5" s="5">
        <f>'Operating History Analysis'!D8</f>
        <v>273885000</v>
      </c>
      <c r="C5" s="5">
        <f>'Operating History Analysis'!E8</f>
        <v>205418000</v>
      </c>
      <c r="D5" s="5">
        <f>'Operating History Analysis'!F8</f>
        <v>145842000</v>
      </c>
      <c r="E5" s="5">
        <f>'Operating History Analysis'!G8</f>
        <v>138125000</v>
      </c>
      <c r="F5" s="5">
        <f>'Operating History Analysis'!H8</f>
        <v>140502000</v>
      </c>
      <c r="G5" s="5">
        <f>'Operating History Analysis'!I8</f>
        <v>122522000</v>
      </c>
      <c r="H5" s="5">
        <f>'Operating History Analysis'!J8</f>
        <v>112475686</v>
      </c>
      <c r="I5" s="5">
        <f>'Operating History Analysis'!K8</f>
        <v>109963556</v>
      </c>
      <c r="J5" s="5">
        <f>'Operating History Analysis'!L8</f>
        <v>113886266</v>
      </c>
      <c r="K5" s="5">
        <f>'Operating History Analysis'!M8</f>
        <v>102331102</v>
      </c>
      <c r="L5" s="5">
        <f>'Operating History Analysis'!N8</f>
        <v>81529333</v>
      </c>
      <c r="M5" s="5">
        <f>'Operating History Analysis'!O8</f>
        <v>61462441</v>
      </c>
      <c r="N5" s="5">
        <f>'Operating History Analysis'!P8</f>
        <v>62155251</v>
      </c>
      <c r="O5" s="5"/>
      <c r="P5" s="5"/>
    </row>
    <row r="6" spans="1:16" x14ac:dyDescent="0.15">
      <c r="A6" s="1" t="s">
        <v>192</v>
      </c>
      <c r="B6" s="5">
        <f>'Operating History Analysis'!D17</f>
        <v>329498000</v>
      </c>
      <c r="C6" s="5">
        <f>'Operating History Analysis'!E17</f>
        <v>236408000</v>
      </c>
      <c r="D6" s="5">
        <f>'Operating History Analysis'!F17</f>
        <v>183502000</v>
      </c>
      <c r="E6" s="5">
        <f>'Operating History Analysis'!G17</f>
        <v>156259000</v>
      </c>
      <c r="F6" s="5">
        <f>'Operating History Analysis'!H17</f>
        <v>161627000</v>
      </c>
      <c r="G6" s="5">
        <f>'Operating History Analysis'!I17</f>
        <v>138488000</v>
      </c>
      <c r="H6" s="5">
        <f>'Operating History Analysis'!J17</f>
        <v>127200072</v>
      </c>
      <c r="I6" s="5">
        <f>'Operating History Analysis'!K17</f>
        <v>123119286</v>
      </c>
      <c r="J6" s="5">
        <f>'Operating History Analysis'!L17</f>
        <v>126251497</v>
      </c>
      <c r="K6" s="5">
        <f>'Operating History Analysis'!M17</f>
        <v>115079092</v>
      </c>
      <c r="L6" s="5">
        <f>'Operating History Analysis'!N17</f>
        <v>90685156</v>
      </c>
      <c r="M6" s="5">
        <f>'Operating History Analysis'!O17</f>
        <v>71309355</v>
      </c>
      <c r="N6" s="5">
        <f>'Operating History Analysis'!P17</f>
        <v>71308160</v>
      </c>
      <c r="O6" s="5"/>
      <c r="P6" s="5"/>
    </row>
    <row r="7" spans="1:16" x14ac:dyDescent="0.15">
      <c r="A7" s="1" t="s">
        <v>193</v>
      </c>
      <c r="B7" s="5">
        <f>'Operating History Analysis'!D34</f>
        <v>67020000</v>
      </c>
      <c r="C7" s="5">
        <f>'Operating History Analysis'!E34</f>
        <v>39420000</v>
      </c>
      <c r="D7" s="5">
        <f>'Operating History Analysis'!F34</f>
        <v>31458000</v>
      </c>
      <c r="E7" s="5">
        <f>'Operating History Analysis'!G34</f>
        <v>21892000</v>
      </c>
      <c r="F7" s="5">
        <f>'Operating History Analysis'!H34</f>
        <v>25707000</v>
      </c>
      <c r="G7" s="5">
        <f>'Operating History Analysis'!I34</f>
        <v>19523000</v>
      </c>
      <c r="H7" s="5">
        <f>'Operating History Analysis'!J34</f>
        <v>12533905</v>
      </c>
      <c r="I7" s="5">
        <f>'Operating History Analysis'!K34</f>
        <v>9648975</v>
      </c>
      <c r="J7" s="5">
        <f>'Operating History Analysis'!L34</f>
        <v>14708210</v>
      </c>
      <c r="K7" s="5">
        <f>'Operating History Analysis'!M34</f>
        <v>11102496</v>
      </c>
      <c r="L7" s="5">
        <f>'Operating History Analysis'!N34</f>
        <v>6933936</v>
      </c>
      <c r="M7" s="5">
        <f>'Operating History Analysis'!O34</f>
        <v>6372626</v>
      </c>
      <c r="N7" s="5">
        <f>'Operating History Analysis'!P34</f>
        <v>4828779</v>
      </c>
      <c r="O7" s="5"/>
      <c r="P7" s="5"/>
    </row>
    <row r="8" spans="1:16" x14ac:dyDescent="0.15">
      <c r="A8" s="1" t="s">
        <v>194</v>
      </c>
      <c r="B8" s="4">
        <f>'Operating History Analysis'!D37</f>
        <v>35.28</v>
      </c>
      <c r="C8" s="4">
        <f>'Operating History Analysis'!E37</f>
        <v>20.8</v>
      </c>
      <c r="D8" s="4">
        <f>'Operating History Analysis'!F37</f>
        <v>16.591772151898734</v>
      </c>
      <c r="E8" s="4">
        <f>'Operating History Analysis'!G37</f>
        <v>11.540326831839748</v>
      </c>
      <c r="F8" s="4">
        <f>'Operating History Analysis'!H37</f>
        <v>13.559466862460578</v>
      </c>
      <c r="G8" s="4">
        <f>'Operating History Analysis'!I37</f>
        <v>10.194474629214692</v>
      </c>
      <c r="H8" s="4">
        <f>'Operating History Analysis'!J37</f>
        <v>6.2990809624489712</v>
      </c>
      <c r="I8" s="4">
        <f>'Operating History Analysis'!K37</f>
        <v>4.7356142277871189</v>
      </c>
      <c r="J8" s="4">
        <f>'Operating History Analysis'!L37</f>
        <v>7.0827370140439214</v>
      </c>
      <c r="K8" s="4">
        <f>'Operating History Analysis'!M37</f>
        <v>5.2449606551042072</v>
      </c>
      <c r="L8" s="4">
        <f>'Operating History Analysis'!N37</f>
        <v>3.1958982981477075</v>
      </c>
      <c r="M8" s="4">
        <f>'Operating History Analysis'!O37</f>
        <v>2.7829920514340043</v>
      </c>
      <c r="N8" s="4">
        <f>'Operating History Analysis'!P37</f>
        <v>2.0999904758964072</v>
      </c>
      <c r="O8" s="5"/>
      <c r="P8" s="5"/>
    </row>
    <row r="9" spans="1:16" x14ac:dyDescent="0.15">
      <c r="A9" s="1" t="s">
        <v>244</v>
      </c>
      <c r="B9" s="4">
        <f>'Operating History Analysis'!D38</f>
        <v>19.82</v>
      </c>
      <c r="C9" s="4">
        <f>'Operating History Analysis'!E38</f>
        <v>16.760000000000002</v>
      </c>
      <c r="D9" s="4">
        <f>'Operating History Analysis'!F38</f>
        <v>9.6</v>
      </c>
      <c r="E9" s="4">
        <f>'Operating History Analysis'!G38</f>
        <v>12.2</v>
      </c>
      <c r="F9" s="4">
        <f>'Operating History Analysis'!H38</f>
        <v>3.75</v>
      </c>
      <c r="G9" s="4">
        <f>'Operating History Analysis'!I38</f>
        <v>0.72</v>
      </c>
      <c r="H9" s="4">
        <f>'Operating History Analysis'!J38</f>
        <v>0.4</v>
      </c>
      <c r="I9" s="4">
        <f>'Operating History Analysis'!K38</f>
        <v>0.32</v>
      </c>
      <c r="J9" s="4">
        <f>'Operating History Analysis'!L38</f>
        <v>0.32</v>
      </c>
      <c r="K9" s="4">
        <f>'Operating History Analysis'!M38</f>
        <v>0.28999999999999998</v>
      </c>
      <c r="L9" s="4">
        <f>'Operating History Analysis'!N38</f>
        <v>0.28000000000000003</v>
      </c>
      <c r="M9" s="4">
        <f>'Operating History Analysis'!O38</f>
        <v>0.28000000000000003</v>
      </c>
      <c r="N9" s="4">
        <f>'Operating History Analysis'!P38</f>
        <v>0.28000000000000003</v>
      </c>
      <c r="O9" s="5"/>
      <c r="P9" s="5"/>
    </row>
    <row r="10" spans="1:16" x14ac:dyDescent="0.15">
      <c r="J10" s="5"/>
      <c r="K10" s="5"/>
      <c r="L10" s="5"/>
      <c r="M10" s="5"/>
      <c r="N10" s="5"/>
      <c r="O10" s="5"/>
      <c r="P10" s="5"/>
    </row>
    <row r="11" spans="1:16" x14ac:dyDescent="0.15">
      <c r="A11" s="1" t="s">
        <v>209</v>
      </c>
      <c r="B11" s="31">
        <f>'Operating History Analysis'!D62</f>
        <v>0.69564052605942528</v>
      </c>
      <c r="C11" s="31">
        <f>'Operating History Analysis'!E62</f>
        <v>0.70168972630638449</v>
      </c>
      <c r="D11" s="31">
        <f>'Operating History Analysis'!F62</f>
        <v>0.69179879092049734</v>
      </c>
      <c r="E11" s="31">
        <f>'Operating History Analysis'!G62</f>
        <v>0.67935343937203052</v>
      </c>
      <c r="F11" s="31">
        <f>'Operating History Analysis'!H62</f>
        <v>0.68576480813610796</v>
      </c>
      <c r="G11" s="31">
        <f>'Operating History Analysis'!I62</f>
        <v>0.71623264084269278</v>
      </c>
      <c r="H11" s="31">
        <f>'Operating History Analysis'!J62</f>
        <v>0.7395086098860002</v>
      </c>
      <c r="I11" s="31">
        <f>'Operating History Analysis'!K62</f>
        <v>0.76399730711953839</v>
      </c>
      <c r="J11" s="31">
        <f>'Operating History Analysis'!L62</f>
        <v>0.75387104463284871</v>
      </c>
      <c r="K11" s="31">
        <f>'Operating History Analysis'!M62</f>
        <v>0.75637544377518451</v>
      </c>
      <c r="L11" s="31">
        <f>'Operating History Analysis'!N62</f>
        <v>0.76251057755933893</v>
      </c>
      <c r="M11" s="31">
        <f>'Operating History Analysis'!O62</f>
        <v>0.71697188706810278</v>
      </c>
      <c r="N11" s="31">
        <f>'Operating History Analysis'!P62</f>
        <v>0.71911185738049954</v>
      </c>
      <c r="O11" s="5"/>
      <c r="P11" s="5"/>
    </row>
    <row r="12" spans="1:16" x14ac:dyDescent="0.15">
      <c r="A12" s="1" t="s">
        <v>210</v>
      </c>
      <c r="B12" s="31">
        <f>'Operating History Analysis'!D63</f>
        <v>2.0760538182083722E-2</v>
      </c>
      <c r="C12" s="31">
        <f>'Operating History Analysis'!E63</f>
        <v>2.5333709801477963E-2</v>
      </c>
      <c r="D12" s="31">
        <f>'Operating History Analysis'!F63</f>
        <v>2.4217989330919763E-2</v>
      </c>
      <c r="E12" s="31">
        <f>'Operating History Analysis'!G63</f>
        <v>-2.4036199095022626E-3</v>
      </c>
      <c r="F12" s="31">
        <f>'Operating History Analysis'!H63</f>
        <v>2.3565500846963034E-2</v>
      </c>
      <c r="G12" s="31">
        <f>'Operating History Analysis'!I63</f>
        <v>1.9833172817942898E-3</v>
      </c>
      <c r="H12" s="31">
        <f>'Operating History Analysis'!J63</f>
        <v>3.9817441077887712E-2</v>
      </c>
      <c r="I12" s="31">
        <f>'Operating History Analysis'!K63</f>
        <v>4.7558629333522097E-2</v>
      </c>
      <c r="J12" s="31">
        <f>'Operating History Analysis'!L63</f>
        <v>-5.0190072962792544E-3</v>
      </c>
      <c r="K12" s="31">
        <f>'Operating History Analysis'!M63</f>
        <v>5.9337922501802046E-2</v>
      </c>
      <c r="L12" s="31">
        <f>'Operating History Analysis'!N63</f>
        <v>4.0996618971481096E-2</v>
      </c>
      <c r="M12" s="31">
        <f>'Operating History Analysis'!O63</f>
        <v>7.2158962902238138E-2</v>
      </c>
      <c r="N12" s="31">
        <f>'Operating History Analysis'!P63</f>
        <v>0.13619320755377531</v>
      </c>
      <c r="O12" s="5"/>
      <c r="P12" s="5"/>
    </row>
    <row r="13" spans="1:16" x14ac:dyDescent="0.15">
      <c r="A13" s="1" t="s">
        <v>195</v>
      </c>
      <c r="B13" s="31">
        <f>'Operating History Analysis'!D64</f>
        <v>0.19482060589138628</v>
      </c>
      <c r="C13" s="31">
        <f>'Operating History Analysis'!E64</f>
        <v>0.21965838719501879</v>
      </c>
      <c r="D13" s="31">
        <f>'Operating History Analysis'!F64</f>
        <v>0.25099453956905105</v>
      </c>
      <c r="E13" s="31">
        <f>'Operating History Analysis'!G64</f>
        <v>0.27871674591543527</v>
      </c>
      <c r="F13" s="31">
        <f>'Operating History Analysis'!H64</f>
        <v>0.2470936167843244</v>
      </c>
      <c r="G13" s="31">
        <f>'Operating History Analysis'!I64</f>
        <v>0.22730489284270117</v>
      </c>
      <c r="H13" s="31">
        <f>'Operating History Analysis'!J64</f>
        <v>0.22044966295302096</v>
      </c>
      <c r="I13" s="31">
        <f>'Operating History Analysis'!K64</f>
        <v>0.2048275767291243</v>
      </c>
      <c r="J13" s="31">
        <f>'Operating History Analysis'!L64</f>
        <v>0.20107889096950668</v>
      </c>
      <c r="K13" s="31">
        <f>'Operating History Analysis'!M64</f>
        <v>0.19010565359691925</v>
      </c>
      <c r="L13" s="31">
        <f>'Operating History Analysis'!N64</f>
        <v>0.2045814863019037</v>
      </c>
      <c r="M13" s="31">
        <f>'Operating History Analysis'!O64</f>
        <v>0.24815756642308712</v>
      </c>
      <c r="N13" s="31">
        <f>'Operating History Analysis'!P64</f>
        <v>0.25508277033091303</v>
      </c>
      <c r="O13" s="5"/>
      <c r="P13" s="5"/>
    </row>
    <row r="14" spans="1:16" x14ac:dyDescent="0.15">
      <c r="A14" s="1" t="s">
        <v>211</v>
      </c>
      <c r="B14" s="31">
        <f>'Operating History Analysis'!D65</f>
        <v>0.11637000931047703</v>
      </c>
      <c r="C14" s="31">
        <f>'Operating History Analysis'!E65</f>
        <v>0.1110272712225803</v>
      </c>
      <c r="D14" s="31">
        <f>'Operating History Analysis'!F65</f>
        <v>0.14611017402394372</v>
      </c>
      <c r="E14" s="31">
        <f>'Operating History Analysis'!G65</f>
        <v>0.14620814479638009</v>
      </c>
      <c r="F14" s="31">
        <f>'Operating History Analysis'!H65</f>
        <v>0.13853895318216111</v>
      </c>
      <c r="G14" s="31">
        <f>'Operating History Analysis'!I65</f>
        <v>0.12236169830724278</v>
      </c>
      <c r="H14" s="31">
        <f>'Operating History Analysis'!J65</f>
        <v>0.1309528443329521</v>
      </c>
      <c r="I14" s="31">
        <f>'Operating History Analysis'!K65</f>
        <v>0.12322713536110091</v>
      </c>
      <c r="J14" s="31">
        <f>'Operating History Analysis'!L65</f>
        <v>0.11189263154874179</v>
      </c>
      <c r="K14" s="31">
        <f>'Operating History Analysis'!M65</f>
        <v>0.11358046354274579</v>
      </c>
      <c r="L14" s="31">
        <f>'Operating History Analysis'!N65</f>
        <v>0.11891473465139228</v>
      </c>
      <c r="M14" s="31">
        <f>'Operating History Analysis'!O65</f>
        <v>0.15250777299912316</v>
      </c>
      <c r="N14" s="31">
        <f>'Operating History Analysis'!P65</f>
        <v>0.15257703649205762</v>
      </c>
      <c r="O14" s="5"/>
      <c r="P14" s="5"/>
    </row>
    <row r="15" spans="1:16" x14ac:dyDescent="0.15">
      <c r="A15" s="1" t="s">
        <v>196</v>
      </c>
      <c r="B15" s="71">
        <f>'Operating History Analysis'!D66</f>
        <v>0.20340032412943326</v>
      </c>
      <c r="C15" s="71">
        <f>'Operating History Analysis'!E66</f>
        <v>0.16674562620554295</v>
      </c>
      <c r="D15" s="71">
        <f>'Operating History Analysis'!F66</f>
        <v>0.17143137404496953</v>
      </c>
      <c r="E15" s="71">
        <f>'Operating History Analysis'!G66</f>
        <v>0.14010073019794059</v>
      </c>
      <c r="F15" s="71">
        <f>'Operating History Analysis'!H66</f>
        <v>0.15905139611574798</v>
      </c>
      <c r="G15" s="71">
        <f>'Operating History Analysis'!I66</f>
        <v>0.14097250303275374</v>
      </c>
      <c r="H15" s="71">
        <f>'Operating History Analysis'!J66</f>
        <v>9.853693321808811E-2</v>
      </c>
      <c r="I15" s="71">
        <f>'Operating History Analysis'!K66</f>
        <v>7.8370946693111912E-2</v>
      </c>
      <c r="J15" s="71">
        <f>'Operating History Analysis'!L66</f>
        <v>0.11649929188562413</v>
      </c>
      <c r="K15" s="71">
        <f>'Operating History Analysis'!M66</f>
        <v>9.6477090729912951E-2</v>
      </c>
      <c r="L15" s="71">
        <f>'Operating History Analysis'!N66</f>
        <v>7.646164274117806E-2</v>
      </c>
      <c r="M15" s="71">
        <f>'Operating History Analysis'!O66</f>
        <v>8.9365918398785119E-2</v>
      </c>
      <c r="N15" s="31">
        <f>'Operating History Analysis'!P66</f>
        <v>6.7717060712266311E-2</v>
      </c>
      <c r="O15" s="5"/>
      <c r="P15" s="5"/>
    </row>
    <row r="16" spans="1:16" x14ac:dyDescent="0.15">
      <c r="A16" s="1" t="s">
        <v>16</v>
      </c>
      <c r="B16" s="31">
        <f>'Operating History Analysis'!D68</f>
        <v>0.26726350343181138</v>
      </c>
      <c r="C16" s="31">
        <f>'Operating History Analysis'!E68</f>
        <v>0.25979198376458651</v>
      </c>
      <c r="D16" s="31">
        <f>'Operating History Analysis'!F68</f>
        <v>0.2659101023587005</v>
      </c>
      <c r="E16" s="31">
        <f>'Operating History Analysis'!G68</f>
        <v>0.23798647907911566</v>
      </c>
      <c r="F16" s="31">
        <f>'Operating History Analysis'!H68</f>
        <v>0.17777259112304042</v>
      </c>
      <c r="G16" s="31">
        <f>'Operating History Analysis'!I68</f>
        <v>0.44132561594017311</v>
      </c>
      <c r="H16" s="31">
        <f>'Operating History Analysis'!J68</f>
        <v>0.41710863453967456</v>
      </c>
      <c r="I16" s="31">
        <f>'Operating History Analysis'!K68</f>
        <v>0.39548242170800524</v>
      </c>
      <c r="J16" s="31">
        <f>'Operating History Analysis'!L68</f>
        <v>0.45865540402265131</v>
      </c>
      <c r="K16" s="31">
        <f>'Operating History Analysis'!M68</f>
        <v>0.44035143088545137</v>
      </c>
      <c r="L16" s="31">
        <f>'Operating History Analysis'!N68</f>
        <v>0.3699197685124293</v>
      </c>
      <c r="M16" s="31">
        <f>'Operating History Analysis'!O68</f>
        <v>0.35197420969000848</v>
      </c>
      <c r="N16" s="31">
        <f>'Operating History Analysis'!P68</f>
        <v>0.22510866618662814</v>
      </c>
      <c r="O16" s="5"/>
      <c r="P16" s="5"/>
    </row>
    <row r="17" spans="1:16" x14ac:dyDescent="0.15">
      <c r="A17" s="1" t="s">
        <v>199</v>
      </c>
      <c r="B17" s="31">
        <f>'Operating History Analysis'!D69</f>
        <v>0.25041532029866548</v>
      </c>
      <c r="C17" s="31">
        <f>'Operating History Analysis'!E69</f>
        <v>0.25900359267444917</v>
      </c>
      <c r="D17" s="31">
        <f>'Operating History Analysis'!F69</f>
        <v>0.27864401201300038</v>
      </c>
      <c r="E17" s="31">
        <f>'Operating History Analysis'!G69</f>
        <v>0.29904072398190046</v>
      </c>
      <c r="F17" s="31">
        <f>'Operating History Analysis'!H69</f>
        <v>0.28757597756615566</v>
      </c>
      <c r="G17" s="31">
        <f>'Operating History Analysis'!I69</f>
        <v>0.27475881882437442</v>
      </c>
      <c r="H17" s="31">
        <f>'Operating History Analysis'!J69</f>
        <v>0.2525037366742533</v>
      </c>
      <c r="I17" s="31">
        <f>'Operating History Analysis'!K69</f>
        <v>0.21877277231740305</v>
      </c>
      <c r="J17" s="31">
        <f>'Operating History Analysis'!L69</f>
        <v>0.21786298621819772</v>
      </c>
      <c r="K17" s="31">
        <f>'Operating History Analysis'!M69</f>
        <v>0.23221566596634521</v>
      </c>
      <c r="L17" s="31">
        <f>'Operating History Analysis'!N69</f>
        <v>0.20220909939248491</v>
      </c>
      <c r="M17" s="31">
        <f>'Operating History Analysis'!O69</f>
        <v>0.29222959107660562</v>
      </c>
      <c r="N17" s="31">
        <f>'Operating History Analysis'!P69</f>
        <v>0.34549103502132106</v>
      </c>
      <c r="O17" s="5"/>
      <c r="P17" s="5"/>
    </row>
    <row r="18" spans="1:16" x14ac:dyDescent="0.15">
      <c r="A18" s="1" t="s">
        <v>183</v>
      </c>
      <c r="B18" s="31">
        <f>'Operating History Analysis'!D70</f>
        <v>0.74958467970133447</v>
      </c>
      <c r="C18" s="31">
        <f>'Operating History Analysis'!E70</f>
        <v>0.74099640732555083</v>
      </c>
      <c r="D18" s="31">
        <f>'Operating History Analysis'!F70</f>
        <v>0.72135598798699962</v>
      </c>
      <c r="E18" s="31">
        <f>'Operating History Analysis'!G70</f>
        <v>0.7009592760180996</v>
      </c>
      <c r="F18" s="31">
        <f>'Operating History Analysis'!H70</f>
        <v>0.71242402243384439</v>
      </c>
      <c r="G18" s="31">
        <f>'Operating History Analysis'!I70</f>
        <v>0.72524118117562564</v>
      </c>
      <c r="H18" s="31">
        <f>'Operating History Analysis'!J70</f>
        <v>0.7474962633257467</v>
      </c>
      <c r="I18" s="31">
        <f>'Operating History Analysis'!K70</f>
        <v>0.781227227682597</v>
      </c>
      <c r="J18" s="31">
        <f>'Operating History Analysis'!L70</f>
        <v>0.78213701378180223</v>
      </c>
      <c r="K18" s="31">
        <f>'Operating History Analysis'!M70</f>
        <v>0.76778433403365476</v>
      </c>
      <c r="L18" s="31">
        <f>'Operating History Analysis'!N70</f>
        <v>0.79779090060751512</v>
      </c>
      <c r="M18" s="31">
        <f>'Operating History Analysis'!O70</f>
        <v>0.70777040892339438</v>
      </c>
      <c r="N18" s="31">
        <f>'Operating History Analysis'!P70</f>
        <v>0.65450896497867894</v>
      </c>
      <c r="O18" s="5"/>
      <c r="P18" s="5"/>
    </row>
    <row r="19" spans="1:16" x14ac:dyDescent="0.15">
      <c r="J19" s="5"/>
      <c r="K19" s="5"/>
      <c r="L19" s="5"/>
      <c r="M19" s="5"/>
      <c r="N19" s="5"/>
      <c r="O19" s="5"/>
      <c r="P19" s="5"/>
    </row>
    <row r="20" spans="1:16" x14ac:dyDescent="0.15">
      <c r="A20" s="2" t="s">
        <v>197</v>
      </c>
      <c r="B20" s="2"/>
      <c r="C20" s="2"/>
      <c r="D20" s="2"/>
      <c r="E20" s="2"/>
      <c r="F20" s="2"/>
      <c r="G20" s="2"/>
      <c r="H20" s="2"/>
      <c r="I20" s="2"/>
      <c r="J20" s="5"/>
      <c r="K20" s="5"/>
      <c r="L20" s="5"/>
      <c r="M20" s="5"/>
      <c r="N20" s="5"/>
      <c r="O20" s="5"/>
      <c r="P20" s="5"/>
    </row>
    <row r="21" spans="1:16" x14ac:dyDescent="0.15">
      <c r="A21" s="2" t="s">
        <v>198</v>
      </c>
      <c r="B21" s="43">
        <f>'Balance Sheet Analysis'!C44</f>
        <v>229087000</v>
      </c>
      <c r="C21" s="43">
        <f>'Balance Sheet Analysis'!D44</f>
        <v>200422000</v>
      </c>
      <c r="D21" s="43">
        <f>'Balance Sheet Analysis'!E44</f>
        <v>191362000</v>
      </c>
      <c r="E21" s="43">
        <f>'Balance Sheet Analysis'!F44</f>
        <v>175639000</v>
      </c>
      <c r="F21" s="43">
        <f>'Balance Sheet Analysis'!G44</f>
        <v>177835487</v>
      </c>
      <c r="G21" s="43">
        <f>'Balance Sheet Analysis'!H44</f>
        <v>155045069</v>
      </c>
      <c r="H21" s="43">
        <f>'Balance Sheet Analysis'!I44</f>
        <v>142669882</v>
      </c>
      <c r="I21" s="43">
        <f>'Balance Sheet Analysis'!J44</f>
        <v>137563706</v>
      </c>
      <c r="J21" s="43">
        <f>'Balance Sheet Analysis'!K44</f>
        <v>128062154</v>
      </c>
      <c r="K21" s="43">
        <f>'Balance Sheet Analysis'!L44</f>
        <v>114638890</v>
      </c>
      <c r="L21" s="43">
        <f>'Balance Sheet Analysis'!M44</f>
        <v>106512184</v>
      </c>
      <c r="M21" s="43">
        <f>'Balance Sheet Analysis'!N44</f>
        <v>103928815</v>
      </c>
      <c r="N21" s="43">
        <f>'Balance Sheet Analysis'!O44</f>
        <v>97259077</v>
      </c>
      <c r="O21" s="5"/>
      <c r="P21" s="5"/>
    </row>
    <row r="22" spans="1:16" x14ac:dyDescent="0.15">
      <c r="A22" s="1" t="s">
        <v>200</v>
      </c>
      <c r="B22" s="5">
        <f>'Balance Sheet Analysis'!C49</f>
        <v>1895000</v>
      </c>
      <c r="C22" s="5">
        <f>'Balance Sheet Analysis'!D49</f>
        <v>1892000</v>
      </c>
      <c r="D22" s="5">
        <f>'Balance Sheet Analysis'!E49</f>
        <v>1889000</v>
      </c>
      <c r="E22" s="5">
        <f>'Balance Sheet Analysis'!F49</f>
        <v>1887000</v>
      </c>
      <c r="F22" s="5">
        <f>'Balance Sheet Analysis'!G49</f>
        <v>1885993</v>
      </c>
      <c r="G22" s="5">
        <f>'Balance Sheet Analysis'!H49</f>
        <v>1884283</v>
      </c>
      <c r="H22" s="5">
        <f>'Balance Sheet Analysis'!I49</f>
        <v>1949797</v>
      </c>
      <c r="I22" s="5">
        <f>'Balance Sheet Analysis'!J49</f>
        <v>2023270</v>
      </c>
      <c r="J22" s="5">
        <f>'Balance Sheet Analysis'!K49</f>
        <v>2043359</v>
      </c>
      <c r="K22" s="5">
        <f>'Balance Sheet Analysis'!L49</f>
        <v>2043359</v>
      </c>
      <c r="L22" s="5">
        <f>'Balance Sheet Analysis'!M49</f>
        <v>2107681</v>
      </c>
      <c r="M22" s="5">
        <f>'Balance Sheet Analysis'!N49</f>
        <v>2282596</v>
      </c>
      <c r="N22" s="5">
        <f>'Balance Sheet Analysis'!O49</f>
        <v>2285289</v>
      </c>
      <c r="O22" s="5"/>
      <c r="P22" s="5"/>
    </row>
    <row r="23" spans="1:16" x14ac:dyDescent="0.15">
      <c r="A23" s="1" t="s">
        <v>201</v>
      </c>
      <c r="B23" s="4">
        <f t="shared" ref="B23:I23" si="0">B21/B22</f>
        <v>120.89023746701847</v>
      </c>
      <c r="C23" s="4">
        <f t="shared" si="0"/>
        <v>105.93128964059197</v>
      </c>
      <c r="D23" s="4">
        <f t="shared" si="0"/>
        <v>101.30333509793542</v>
      </c>
      <c r="E23" s="4">
        <f t="shared" si="0"/>
        <v>93.078431372549019</v>
      </c>
      <c r="F23" s="4">
        <f t="shared" si="0"/>
        <v>94.292760895719127</v>
      </c>
      <c r="G23" s="4">
        <f t="shared" si="0"/>
        <v>82.283324214037918</v>
      </c>
      <c r="H23" s="4">
        <f t="shared" si="0"/>
        <v>73.171659408646136</v>
      </c>
      <c r="I23" s="4">
        <f t="shared" si="0"/>
        <v>67.990780271540629</v>
      </c>
      <c r="J23" s="4">
        <f>J21/J22</f>
        <v>62.672371325841418</v>
      </c>
      <c r="K23" s="4">
        <f>K21/K22</f>
        <v>56.103156616140382</v>
      </c>
      <c r="L23" s="4">
        <f>L21/L22</f>
        <v>50.535248929985137</v>
      </c>
      <c r="M23" s="4">
        <f t="shared" ref="M23:N23" si="1">M21/M22</f>
        <v>45.530972191311996</v>
      </c>
      <c r="N23" s="4">
        <f t="shared" si="1"/>
        <v>42.558764777671442</v>
      </c>
      <c r="O23" s="5"/>
      <c r="P23" s="5"/>
    </row>
    <row r="24" spans="1:16" x14ac:dyDescent="0.15">
      <c r="A24" s="1" t="s">
        <v>106</v>
      </c>
      <c r="B24" s="5">
        <f>'Balance Sheet Analysis'!C28</f>
        <v>36754000</v>
      </c>
      <c r="C24" s="5">
        <f>'Balance Sheet Analysis'!D28</f>
        <v>33584000</v>
      </c>
      <c r="D24" s="5">
        <f>'Balance Sheet Analysis'!E28</f>
        <v>31333000</v>
      </c>
      <c r="E24" s="5">
        <f>'Balance Sheet Analysis'!F28</f>
        <v>31729000</v>
      </c>
      <c r="F24" s="5">
        <f>'Balance Sheet Analysis'!G28</f>
        <v>34801000</v>
      </c>
      <c r="G24" s="5">
        <f>'Balance Sheet Analysis'!H28</f>
        <v>35305000</v>
      </c>
      <c r="H24" s="5">
        <f>'Balance Sheet Analysis'!I28</f>
        <v>37788000</v>
      </c>
      <c r="I24" s="5">
        <f>'Balance Sheet Analysis'!J28</f>
        <v>36677000</v>
      </c>
      <c r="J24" s="5">
        <f>'Balance Sheet Analysis'!K28</f>
        <v>35360000</v>
      </c>
      <c r="K24" s="5">
        <f>'Balance Sheet Analysis'!L28</f>
        <v>39078000</v>
      </c>
      <c r="L24" s="5">
        <f>'Balance Sheet Analysis'!M28</f>
        <v>37996000</v>
      </c>
      <c r="M24" s="5">
        <f>'Balance Sheet Analysis'!N28</f>
        <v>38198700</v>
      </c>
      <c r="N24" s="5">
        <f>'Balance Sheet Analysis'!O28</f>
        <v>39490000</v>
      </c>
      <c r="O24" s="5"/>
      <c r="P24" s="5"/>
    </row>
    <row r="25" spans="1:16" x14ac:dyDescent="0.15">
      <c r="A25" s="2" t="s">
        <v>202</v>
      </c>
      <c r="B25" s="2"/>
      <c r="C25" s="2"/>
      <c r="D25" s="2"/>
      <c r="E25" s="2"/>
      <c r="F25" s="2"/>
      <c r="G25" s="2"/>
      <c r="H25" s="2"/>
      <c r="I25" s="2"/>
      <c r="J25" s="5"/>
      <c r="K25" s="5"/>
      <c r="L25" s="5"/>
      <c r="M25" s="5"/>
      <c r="N25" s="5"/>
      <c r="O25" s="5"/>
      <c r="P25" s="5"/>
    </row>
    <row r="26" spans="1:16" x14ac:dyDescent="0.15">
      <c r="A26" s="2" t="s">
        <v>203</v>
      </c>
      <c r="B26" s="43">
        <f>'Balance Sheet Analysis'!C12</f>
        <v>222872000</v>
      </c>
      <c r="C26" s="43">
        <f>'Balance Sheet Analysis'!D12</f>
        <v>213295000</v>
      </c>
      <c r="D26" s="43">
        <f>'Balance Sheet Analysis'!E12</f>
        <v>192862000</v>
      </c>
      <c r="E26" s="43">
        <f>'Balance Sheet Analysis'!F12</f>
        <v>182669000</v>
      </c>
      <c r="F26" s="43">
        <f>'Balance Sheet Analysis'!G12</f>
        <v>186520007</v>
      </c>
      <c r="G26" s="43">
        <f>'Balance Sheet Analysis'!H12</f>
        <v>160853707</v>
      </c>
      <c r="H26" s="43">
        <f>'Balance Sheet Analysis'!I12</f>
        <v>160552082</v>
      </c>
      <c r="I26" s="43">
        <f>'Balance Sheet Analysis'!J12</f>
        <v>159411193</v>
      </c>
      <c r="J26" s="43">
        <f>'Balance Sheet Analysis'!K12</f>
        <v>142763682</v>
      </c>
      <c r="K26" s="43">
        <f>'Balance Sheet Analysis'!L12</f>
        <v>130778659</v>
      </c>
      <c r="L26" s="43">
        <f>'Balance Sheet Analysis'!M12</f>
        <v>125701316</v>
      </c>
      <c r="M26" s="43">
        <f>'Balance Sheet Analysis'!N12</f>
        <v>129998435</v>
      </c>
      <c r="N26" s="43">
        <f>'Balance Sheet Analysis'!O12</f>
        <v>123682141</v>
      </c>
      <c r="O26" s="5"/>
      <c r="P26" s="5"/>
    </row>
    <row r="27" spans="1:16" x14ac:dyDescent="0.15">
      <c r="A27" s="70" t="s">
        <v>208</v>
      </c>
      <c r="B27" s="70"/>
      <c r="C27" s="70"/>
      <c r="D27" s="70"/>
      <c r="E27" s="70"/>
      <c r="F27" s="70"/>
      <c r="G27" s="70"/>
      <c r="H27" s="70"/>
      <c r="I27" s="70"/>
      <c r="J27" s="5"/>
      <c r="K27" s="5"/>
      <c r="L27" s="5"/>
      <c r="M27" s="5"/>
      <c r="N27" s="5"/>
      <c r="O27" s="5"/>
      <c r="P27" s="5"/>
    </row>
    <row r="28" spans="1:16" x14ac:dyDescent="0.15">
      <c r="A28" s="1" t="s">
        <v>204</v>
      </c>
      <c r="B28" s="31">
        <f>'Balance Sheet Analysis'!C63</f>
        <v>0.1429318566374404</v>
      </c>
      <c r="C28" s="31">
        <f>'Balance Sheet Analysis'!D63</f>
        <v>6.0448951184487572E-2</v>
      </c>
      <c r="D28" s="31">
        <f>'Balance Sheet Analysis'!E63</f>
        <v>0.11859093007207133</v>
      </c>
      <c r="E28" s="31">
        <f>'Balance Sheet Analysis'!F63</f>
        <v>9.2837313707086214E-2</v>
      </c>
      <c r="F28" s="31">
        <f>'Balance Sheet Analysis'!G63</f>
        <v>9.7779859890325505E-2</v>
      </c>
      <c r="G28" s="31">
        <f>'Balance Sheet Analysis'!H63</f>
        <v>0.14794019302002018</v>
      </c>
      <c r="H28" s="31">
        <f>'Balance Sheet Analysis'!I63</f>
        <v>0.11950099305070166</v>
      </c>
      <c r="I28" s="31">
        <f>'Balance Sheet Analysis'!J63</f>
        <v>9.0314551477699082E-2</v>
      </c>
      <c r="J28" s="31">
        <f>'Balance Sheet Analysis'!K63</f>
        <v>0.14199590177183433</v>
      </c>
      <c r="K28" s="31">
        <f>'Balance Sheet Analysis'!L63</f>
        <v>0.13727950142344736</v>
      </c>
      <c r="L28" s="31">
        <f>'Balance Sheet Analysis'!M63</f>
        <v>0.12551697093603642</v>
      </c>
      <c r="M28" s="31">
        <f>'Balance Sheet Analysis'!N63</f>
        <v>5.876989185266189E-2</v>
      </c>
      <c r="N28" s="31">
        <f>'Balance Sheet Analysis'!O63</f>
        <v>6.5953231317677483E-2</v>
      </c>
      <c r="O28" s="5"/>
      <c r="P28" s="5"/>
    </row>
    <row r="29" spans="1:16" x14ac:dyDescent="0.15">
      <c r="A29" s="1" t="s">
        <v>205</v>
      </c>
      <c r="B29" s="31">
        <f>'Balance Sheet Analysis'!C64</f>
        <v>0.30684125519150901</v>
      </c>
      <c r="C29" s="31">
        <f>'Balance Sheet Analysis'!D64</f>
        <v>0.51851835537270174</v>
      </c>
      <c r="D29" s="31">
        <f>'Balance Sheet Analysis'!E64</f>
        <v>0.47821179008367953</v>
      </c>
      <c r="E29" s="31">
        <f>'Balance Sheet Analysis'!F64</f>
        <v>0.44177430809036417</v>
      </c>
      <c r="F29" s="31">
        <f>'Balance Sheet Analysis'!G64</f>
        <v>0.49987348747711285</v>
      </c>
      <c r="G29" s="31">
        <f>'Balance Sheet Analysis'!H64</f>
        <v>0.53995603578661944</v>
      </c>
      <c r="H29" s="31">
        <f>'Balance Sheet Analysis'!I64</f>
        <v>0.58168878671223301</v>
      </c>
      <c r="I29" s="31">
        <f>'Balance Sheet Analysis'!J64</f>
        <v>0.62228781262078592</v>
      </c>
      <c r="J29" s="31">
        <f>'Balance Sheet Analysis'!K64</f>
        <v>0.54958332552789702</v>
      </c>
      <c r="K29" s="31">
        <f>'Balance Sheet Analysis'!L64</f>
        <v>0.54052175678002656</v>
      </c>
      <c r="L29" s="31">
        <f>'Balance Sheet Analysis'!M64</f>
        <v>0.59416475201875807</v>
      </c>
      <c r="M29" s="31">
        <f>'Balance Sheet Analysis'!N64</f>
        <v>0.62291037703192487</v>
      </c>
      <c r="N29" s="31">
        <f>'Balance Sheet Analysis'!O64</f>
        <v>0.67064111488816536</v>
      </c>
      <c r="O29" s="5"/>
      <c r="P29" s="5"/>
    </row>
    <row r="30" spans="1:16" x14ac:dyDescent="0.15">
      <c r="A30" s="1" t="s">
        <v>206</v>
      </c>
      <c r="B30" s="31">
        <f>'Balance Sheet Analysis'!C65</f>
        <v>0.295542993385633</v>
      </c>
      <c r="C30" s="31">
        <f>'Balance Sheet Analysis'!D65</f>
        <v>0.28596410857288851</v>
      </c>
      <c r="D30" s="31">
        <f>'Balance Sheet Analysis'!E65</f>
        <v>0.27927297987761129</v>
      </c>
      <c r="E30" s="31">
        <f>'Balance Sheet Analysis'!F65</f>
        <v>0.24080392127650066</v>
      </c>
      <c r="F30" s="31">
        <f>'Balance Sheet Analysis'!G65</f>
        <v>0.22911914425496763</v>
      </c>
      <c r="G30" s="31">
        <f>'Balance Sheet Analysis'!H65</f>
        <v>0.2181310715774713</v>
      </c>
      <c r="H30" s="31">
        <f>'Balance Sheet Analysis'!I65</f>
        <v>0.20573117076879921</v>
      </c>
      <c r="I30" s="31">
        <f>'Balance Sheet Analysis'!J65</f>
        <v>0.22400989745882777</v>
      </c>
      <c r="J30" s="31">
        <f>'Balance Sheet Analysis'!K65</f>
        <v>0.21722440513004704</v>
      </c>
      <c r="K30" s="31">
        <f>'Balance Sheet Analysis'!L65</f>
        <v>0.18808088812596471</v>
      </c>
      <c r="L30" s="31">
        <f>'Balance Sheet Analysis'!M65</f>
        <v>0.15687640408885339</v>
      </c>
      <c r="M30" s="31">
        <f>'Balance Sheet Analysis'!N65</f>
        <v>0.10044038080427575</v>
      </c>
      <c r="N30" s="31">
        <f>'Balance Sheet Analysis'!O65</f>
        <v>8.9523608295539001E-2</v>
      </c>
      <c r="O30" s="5"/>
      <c r="P30" s="5"/>
    </row>
    <row r="31" spans="1:16" x14ac:dyDescent="0.15">
      <c r="A31" s="1" t="s">
        <v>207</v>
      </c>
      <c r="B31" s="31">
        <f>'Balance Sheet Analysis'!C66</f>
        <v>0.17662667281956623</v>
      </c>
      <c r="C31" s="31">
        <f>'Balance Sheet Analysis'!D66</f>
        <v>6.6822895100829005E-2</v>
      </c>
      <c r="D31" s="31">
        <f>'Balance Sheet Analysis'!E66</f>
        <v>6.0024404623167937E-2</v>
      </c>
      <c r="E31" s="31">
        <f>'Balance Sheet Analysis'!F66</f>
        <v>0.16282534527197151</v>
      </c>
      <c r="F31" s="31">
        <f>'Balance Sheet Analysis'!G66</f>
        <v>0.11502518871126841</v>
      </c>
      <c r="G31" s="31">
        <f>'Balance Sheet Analysis'!H66</f>
        <v>3.4742898057130697E-2</v>
      </c>
      <c r="H31" s="31">
        <f>'Balance Sheet Analysis'!I66</f>
        <v>3.7651228747714122E-2</v>
      </c>
      <c r="I31" s="31">
        <f>'Balance Sheet Analysis'!J66</f>
        <v>1.4705699072485015E-2</v>
      </c>
      <c r="J31" s="31">
        <f>'Balance Sheet Analysis'!K66</f>
        <v>4.7637189114281039E-2</v>
      </c>
      <c r="K31" s="31">
        <f>'Balance Sheet Analysis'!L66</f>
        <v>8.9503043819031416E-2</v>
      </c>
      <c r="L31" s="31">
        <f>'Balance Sheet Analysis'!M66</f>
        <v>9.8176646143499954E-2</v>
      </c>
      <c r="M31" s="31">
        <f>'Balance Sheet Analysis'!N66</f>
        <v>0.19696237349696954</v>
      </c>
      <c r="N31" s="31">
        <f>'Balance Sheet Analysis'!O66</f>
        <v>0.15645793423877813</v>
      </c>
      <c r="O31" s="5"/>
      <c r="P31" s="5"/>
    </row>
    <row r="32" spans="1:16" x14ac:dyDescent="0.15">
      <c r="A32" s="1" t="s">
        <v>245</v>
      </c>
      <c r="B32" s="31">
        <f>'Balance Sheet Analysis'!C67</f>
        <v>7.8057221965851409E-2</v>
      </c>
      <c r="C32" s="31">
        <f>'Balance Sheet Analysis'!D67</f>
        <v>6.8245689769093204E-2</v>
      </c>
      <c r="D32" s="31">
        <f>'Balance Sheet Analysis'!E67</f>
        <v>6.3899895343469931E-2</v>
      </c>
      <c r="E32" s="31">
        <f>'Balance Sheet Analysis'!F67</f>
        <v>6.1759111654077464E-2</v>
      </c>
      <c r="F32" s="31">
        <f>'Balance Sheet Analysis'!G67</f>
        <v>5.8202319666325608E-2</v>
      </c>
      <c r="G32" s="31">
        <f>'Balance Sheet Analysis'!H67</f>
        <v>5.9229801558758365E-2</v>
      </c>
      <c r="H32" s="31">
        <f>'Balance Sheet Analysis'!I67</f>
        <v>5.5427820720551996E-2</v>
      </c>
      <c r="I32" s="31">
        <f>'Balance Sheet Analysis'!J67</f>
        <v>4.8682039370202219E-2</v>
      </c>
      <c r="J32" s="31">
        <f>'Balance Sheet Analysis'!K67</f>
        <v>4.3559178455940525E-2</v>
      </c>
      <c r="K32" s="31">
        <f>'Balance Sheet Analysis'!L67</f>
        <v>4.4614809851530005E-2</v>
      </c>
      <c r="L32" s="31">
        <f>'Balance Sheet Analysis'!M67</f>
        <v>2.5265226812852169E-2</v>
      </c>
      <c r="M32" s="31">
        <f>'Balance Sheet Analysis'!N67</f>
        <v>2.0916976814167938E-2</v>
      </c>
      <c r="N32" s="31">
        <f>'Balance Sheet Analysis'!O67</f>
        <v>1.7424111259840079E-2</v>
      </c>
      <c r="O32" s="5"/>
      <c r="P32" s="5"/>
    </row>
    <row r="33" spans="1:22" x14ac:dyDescent="0.15">
      <c r="C33" s="5"/>
      <c r="D33" s="5"/>
      <c r="E33" s="5"/>
      <c r="F33" s="5"/>
      <c r="G33" s="5"/>
    </row>
    <row r="34" spans="1:22" x14ac:dyDescent="0.15">
      <c r="A34" s="32" t="s">
        <v>249</v>
      </c>
      <c r="B34" s="69">
        <v>2021</v>
      </c>
      <c r="C34" s="69">
        <v>2020</v>
      </c>
      <c r="D34" s="69">
        <v>2019</v>
      </c>
      <c r="E34" s="69">
        <v>2018</v>
      </c>
      <c r="F34" s="69">
        <v>2017</v>
      </c>
      <c r="G34" s="69">
        <v>2016</v>
      </c>
      <c r="H34" s="69">
        <v>2015</v>
      </c>
      <c r="I34" s="69">
        <v>2014</v>
      </c>
      <c r="J34" s="69">
        <v>2013</v>
      </c>
      <c r="K34" s="69">
        <v>2012</v>
      </c>
      <c r="L34" s="69">
        <v>2011</v>
      </c>
      <c r="M34" s="69">
        <v>2010</v>
      </c>
      <c r="N34" s="69">
        <v>2009</v>
      </c>
      <c r="O34" s="69">
        <v>2008</v>
      </c>
      <c r="P34" s="69">
        <v>2007</v>
      </c>
      <c r="Q34" s="69">
        <v>2006</v>
      </c>
      <c r="R34" s="69">
        <v>2005</v>
      </c>
      <c r="S34" s="69">
        <v>2004</v>
      </c>
      <c r="T34" s="69">
        <v>2003</v>
      </c>
      <c r="U34" s="69">
        <v>2002</v>
      </c>
      <c r="V34" s="69">
        <v>2001</v>
      </c>
    </row>
    <row r="35" spans="1:22" x14ac:dyDescent="0.15">
      <c r="A35" s="1" t="s">
        <v>250</v>
      </c>
      <c r="B35" s="24">
        <v>3317000</v>
      </c>
      <c r="C35" s="5">
        <v>3585000</v>
      </c>
      <c r="D35" s="5">
        <v>3799000</v>
      </c>
      <c r="E35" s="5">
        <v>3007000</v>
      </c>
      <c r="F35" s="5">
        <v>4646422</v>
      </c>
      <c r="G35" s="5">
        <v>4405343</v>
      </c>
      <c r="H35" s="5">
        <v>5066469</v>
      </c>
      <c r="I35" s="5">
        <v>5364645</v>
      </c>
      <c r="J35" s="5">
        <v>4670809</v>
      </c>
      <c r="K35" s="5">
        <v>5166370</v>
      </c>
      <c r="L35" s="5">
        <v>6233501</v>
      </c>
      <c r="M35" s="5">
        <v>6121941</v>
      </c>
      <c r="N35" s="5">
        <v>6398623</v>
      </c>
      <c r="O35" s="5">
        <v>6447345</v>
      </c>
      <c r="P35" s="50"/>
      <c r="Q35" s="50"/>
      <c r="R35" s="50"/>
      <c r="S35" s="50"/>
      <c r="T35" s="50"/>
      <c r="U35" s="50"/>
      <c r="V35" s="50"/>
    </row>
    <row r="36" spans="1:22" x14ac:dyDescent="0.15">
      <c r="A36" s="1" t="s">
        <v>251</v>
      </c>
      <c r="B36" s="24">
        <v>33437000</v>
      </c>
      <c r="C36" s="5">
        <v>29999000</v>
      </c>
      <c r="D36" s="5">
        <v>27534000</v>
      </c>
      <c r="E36" s="5">
        <v>28722000</v>
      </c>
      <c r="F36" s="5">
        <v>30154578</v>
      </c>
      <c r="G36" s="5">
        <v>30899657</v>
      </c>
      <c r="H36" s="5">
        <v>32721531</v>
      </c>
      <c r="I36" s="5">
        <v>31312355</v>
      </c>
      <c r="J36" s="5">
        <v>30689191</v>
      </c>
      <c r="K36" s="5">
        <v>33911630</v>
      </c>
      <c r="L36" s="5">
        <v>31762499</v>
      </c>
      <c r="M36" s="5">
        <v>32076759</v>
      </c>
      <c r="N36" s="5">
        <v>33091377</v>
      </c>
      <c r="O36" s="5">
        <v>32790655</v>
      </c>
      <c r="P36" s="50"/>
      <c r="Q36" s="50"/>
      <c r="R36" s="50"/>
      <c r="S36" s="50"/>
      <c r="T36" s="50"/>
      <c r="U36" s="50"/>
      <c r="V36" s="50"/>
    </row>
    <row r="37" spans="1:22" ht="13" thickBot="1" x14ac:dyDescent="0.2">
      <c r="A37" s="2" t="s">
        <v>252</v>
      </c>
      <c r="B37" s="35">
        <f>SUM(B35:B36)</f>
        <v>36754000</v>
      </c>
      <c r="C37" s="35">
        <f t="shared" ref="C37:N37" si="2">SUM(C35:C36)</f>
        <v>33584000</v>
      </c>
      <c r="D37" s="35">
        <f t="shared" si="2"/>
        <v>31333000</v>
      </c>
      <c r="E37" s="35">
        <f t="shared" si="2"/>
        <v>31729000</v>
      </c>
      <c r="F37" s="35">
        <f t="shared" si="2"/>
        <v>34801000</v>
      </c>
      <c r="G37" s="35">
        <f t="shared" si="2"/>
        <v>35305000</v>
      </c>
      <c r="H37" s="35">
        <f t="shared" si="2"/>
        <v>37788000</v>
      </c>
      <c r="I37" s="35">
        <f t="shared" si="2"/>
        <v>36677000</v>
      </c>
      <c r="J37" s="35">
        <f t="shared" si="2"/>
        <v>35360000</v>
      </c>
      <c r="K37" s="35">
        <f t="shared" si="2"/>
        <v>39078000</v>
      </c>
      <c r="L37" s="35">
        <f t="shared" si="2"/>
        <v>37996000</v>
      </c>
      <c r="M37" s="35">
        <f t="shared" si="2"/>
        <v>38198700</v>
      </c>
      <c r="N37" s="35">
        <f t="shared" si="2"/>
        <v>39490000</v>
      </c>
      <c r="O37" s="35">
        <f t="shared" ref="O37" si="3">SUM(O35:O36)</f>
        <v>39238000</v>
      </c>
      <c r="P37" s="97"/>
      <c r="Q37" s="97"/>
      <c r="R37" s="97"/>
      <c r="S37" s="97"/>
      <c r="T37" s="97"/>
      <c r="U37" s="97"/>
      <c r="V37" s="97"/>
    </row>
    <row r="38" spans="1:22" ht="13" thickTop="1" x14ac:dyDescent="0.15">
      <c r="B38" s="24"/>
      <c r="C38" s="24"/>
      <c r="D38" s="24"/>
      <c r="E38" s="24"/>
      <c r="F38" s="24"/>
      <c r="G38" s="24"/>
      <c r="H38" s="24"/>
      <c r="I38" s="24"/>
      <c r="J38" s="24"/>
      <c r="K38" s="24"/>
      <c r="L38" s="24"/>
      <c r="M38" s="24"/>
      <c r="N38" s="24"/>
      <c r="O38" s="24"/>
      <c r="P38" s="50"/>
      <c r="Q38" s="50"/>
      <c r="R38" s="50"/>
      <c r="S38" s="50"/>
      <c r="T38" s="50"/>
      <c r="U38" s="50"/>
      <c r="V38" s="50"/>
    </row>
    <row r="39" spans="1:22" x14ac:dyDescent="0.15">
      <c r="A39" s="2" t="s">
        <v>249</v>
      </c>
      <c r="B39" s="24"/>
      <c r="C39" s="24"/>
      <c r="D39" s="24"/>
      <c r="E39" s="24"/>
      <c r="F39" s="24"/>
      <c r="G39" s="24"/>
      <c r="H39" s="24"/>
      <c r="I39" s="24"/>
      <c r="J39" s="24"/>
      <c r="K39" s="24"/>
      <c r="L39" s="24"/>
      <c r="M39" s="24"/>
      <c r="N39" s="24"/>
      <c r="O39" s="24"/>
      <c r="P39" s="16"/>
      <c r="Q39" s="16"/>
      <c r="R39" s="16"/>
      <c r="S39" s="16"/>
      <c r="T39" s="16"/>
      <c r="U39" s="16"/>
      <c r="V39" s="16"/>
    </row>
    <row r="40" spans="1:22" x14ac:dyDescent="0.15">
      <c r="A40" s="2" t="s">
        <v>253</v>
      </c>
      <c r="B40" s="45">
        <v>33584000</v>
      </c>
      <c r="C40" s="45">
        <v>31333000</v>
      </c>
      <c r="D40" s="45">
        <v>31729000</v>
      </c>
      <c r="E40" s="45">
        <v>34801000</v>
      </c>
      <c r="F40" s="45">
        <v>35305000</v>
      </c>
      <c r="G40" s="45">
        <v>37788000</v>
      </c>
      <c r="H40" s="45">
        <v>36677000</v>
      </c>
      <c r="I40" s="45">
        <v>35360000</v>
      </c>
      <c r="J40" s="45">
        <v>39078000</v>
      </c>
      <c r="K40" s="45">
        <v>37996000</v>
      </c>
      <c r="L40" s="45">
        <v>38198700</v>
      </c>
      <c r="M40" s="45">
        <v>39490000</v>
      </c>
      <c r="N40" s="45">
        <v>39238000</v>
      </c>
      <c r="O40" s="45">
        <v>36975000</v>
      </c>
      <c r="P40" s="45">
        <v>36906000</v>
      </c>
      <c r="Q40" s="45">
        <v>34857000</v>
      </c>
      <c r="R40" s="45">
        <v>31842000</v>
      </c>
      <c r="S40" s="45">
        <v>30031000</v>
      </c>
      <c r="T40" s="45">
        <v>25630000</v>
      </c>
      <c r="U40" s="45">
        <v>21460000</v>
      </c>
      <c r="V40" s="45">
        <v>17944665</v>
      </c>
    </row>
    <row r="41" spans="1:22" x14ac:dyDescent="0.15">
      <c r="A41" s="1" t="s">
        <v>254</v>
      </c>
      <c r="B41" s="24"/>
      <c r="C41" s="24"/>
      <c r="D41" s="24"/>
      <c r="E41" s="24"/>
      <c r="F41" s="24"/>
      <c r="G41" s="24"/>
      <c r="H41" s="24"/>
      <c r="I41" s="24"/>
      <c r="J41" s="24"/>
      <c r="K41" s="24"/>
      <c r="L41" s="24"/>
      <c r="M41" s="24"/>
      <c r="N41" s="24"/>
      <c r="O41" s="24"/>
      <c r="P41" s="24"/>
      <c r="Q41" s="24"/>
      <c r="R41" s="24"/>
      <c r="S41" s="24"/>
      <c r="T41" s="24"/>
      <c r="U41" s="24"/>
      <c r="V41" s="24"/>
    </row>
    <row r="42" spans="1:22" x14ac:dyDescent="0.15">
      <c r="A42" s="1" t="s">
        <v>255</v>
      </c>
      <c r="B42" s="24">
        <v>11450000</v>
      </c>
      <c r="C42" s="5">
        <v>8877000</v>
      </c>
      <c r="D42" s="5">
        <v>8610000</v>
      </c>
      <c r="E42" s="5">
        <v>6762000</v>
      </c>
      <c r="F42" s="5">
        <v>7432000</v>
      </c>
      <c r="G42" s="5">
        <v>6673000</v>
      </c>
      <c r="H42" s="5">
        <v>7295013</v>
      </c>
      <c r="I42" s="5">
        <v>6860335</v>
      </c>
      <c r="J42" s="5">
        <v>7239628</v>
      </c>
      <c r="K42" s="5">
        <v>7650959</v>
      </c>
      <c r="L42" s="5">
        <v>6845338</v>
      </c>
      <c r="M42" s="5">
        <v>6744917</v>
      </c>
      <c r="N42" s="5">
        <v>7726693</v>
      </c>
      <c r="O42" s="5">
        <v>15564722</v>
      </c>
      <c r="P42" s="5">
        <v>9787529</v>
      </c>
      <c r="Q42" s="5">
        <v>9845776</v>
      </c>
      <c r="R42" s="5"/>
      <c r="S42" s="5"/>
      <c r="T42" s="5"/>
      <c r="U42" s="5"/>
      <c r="V42" s="5"/>
    </row>
    <row r="43" spans="1:22" x14ac:dyDescent="0.15">
      <c r="A43" s="1" t="s">
        <v>256</v>
      </c>
      <c r="B43" s="5">
        <v>-5764000</v>
      </c>
      <c r="C43" s="5">
        <v>-3673000</v>
      </c>
      <c r="D43" s="5">
        <v>-5078000</v>
      </c>
      <c r="E43" s="5">
        <v>-7094000</v>
      </c>
      <c r="F43" s="5">
        <v>-4121000</v>
      </c>
      <c r="G43" s="5">
        <v>-6430000</v>
      </c>
      <c r="H43" s="5">
        <v>-2816519</v>
      </c>
      <c r="I43" s="5">
        <v>-1630619</v>
      </c>
      <c r="J43" s="5">
        <v>-7811224</v>
      </c>
      <c r="K43" s="5">
        <v>-1578844</v>
      </c>
      <c r="L43" s="5">
        <v>-3502911</v>
      </c>
      <c r="M43" s="5">
        <v>-2309851</v>
      </c>
      <c r="N43" s="5">
        <v>738430</v>
      </c>
      <c r="O43" s="5">
        <v>-358085</v>
      </c>
      <c r="P43" s="5">
        <v>347190</v>
      </c>
      <c r="Q43" s="5">
        <v>-2440565</v>
      </c>
      <c r="R43" s="5"/>
      <c r="S43" s="5"/>
      <c r="T43" s="5"/>
      <c r="U43" s="5"/>
      <c r="V43" s="5"/>
    </row>
    <row r="44" spans="1:22" x14ac:dyDescent="0.15">
      <c r="A44" s="1" t="s">
        <v>257</v>
      </c>
      <c r="B44" s="14">
        <f>SUM(B42:B43)</f>
        <v>5686000</v>
      </c>
      <c r="C44" s="14">
        <f t="shared" ref="C44:O44" si="4">SUM(C42:C43)</f>
        <v>5204000</v>
      </c>
      <c r="D44" s="14">
        <f t="shared" si="4"/>
        <v>3532000</v>
      </c>
      <c r="E44" s="14">
        <f t="shared" si="4"/>
        <v>-332000</v>
      </c>
      <c r="F44" s="14">
        <f t="shared" si="4"/>
        <v>3311000</v>
      </c>
      <c r="G44" s="14">
        <f t="shared" si="4"/>
        <v>243000</v>
      </c>
      <c r="H44" s="14">
        <f t="shared" si="4"/>
        <v>4478494</v>
      </c>
      <c r="I44" s="14">
        <f t="shared" si="4"/>
        <v>5229716</v>
      </c>
      <c r="J44" s="14">
        <f t="shared" si="4"/>
        <v>-571596</v>
      </c>
      <c r="K44" s="14">
        <f t="shared" si="4"/>
        <v>6072115</v>
      </c>
      <c r="L44" s="14">
        <f t="shared" si="4"/>
        <v>3342427</v>
      </c>
      <c r="M44" s="14">
        <f t="shared" si="4"/>
        <v>4435066</v>
      </c>
      <c r="N44" s="14">
        <f t="shared" si="4"/>
        <v>8465123</v>
      </c>
      <c r="O44" s="14">
        <f t="shared" si="4"/>
        <v>15206637</v>
      </c>
      <c r="P44" s="14">
        <f t="shared" ref="P44" si="5">SUM(P42:P43)</f>
        <v>10134719</v>
      </c>
      <c r="Q44" s="14">
        <f t="shared" ref="Q44" si="6">SUM(Q42:Q43)</f>
        <v>7405211</v>
      </c>
      <c r="R44" s="14">
        <v>8164783</v>
      </c>
      <c r="S44" s="14">
        <v>7984339</v>
      </c>
      <c r="T44" s="14">
        <v>9292739</v>
      </c>
      <c r="U44" s="14">
        <v>6871822</v>
      </c>
      <c r="V44" s="14">
        <v>6786263</v>
      </c>
    </row>
    <row r="45" spans="1:22" x14ac:dyDescent="0.15">
      <c r="A45" s="1" t="s">
        <v>258</v>
      </c>
      <c r="B45" s="5"/>
      <c r="C45" s="5"/>
      <c r="D45" s="5"/>
      <c r="E45" s="5"/>
      <c r="F45" s="5"/>
      <c r="G45" s="5"/>
      <c r="H45" s="5"/>
      <c r="I45" s="5"/>
      <c r="J45" s="5"/>
      <c r="K45" s="5"/>
      <c r="L45" s="5"/>
      <c r="M45" s="5"/>
      <c r="N45" s="5"/>
      <c r="O45" s="5"/>
      <c r="P45" s="5"/>
      <c r="Q45" s="5"/>
      <c r="R45" s="5"/>
      <c r="S45" s="5"/>
      <c r="T45" s="5"/>
      <c r="U45" s="5"/>
      <c r="V45" s="5"/>
    </row>
    <row r="46" spans="1:22" x14ac:dyDescent="0.15">
      <c r="A46" s="1" t="s">
        <v>255</v>
      </c>
      <c r="B46" s="5">
        <v>-146000</v>
      </c>
      <c r="C46" s="5">
        <v>-249000</v>
      </c>
      <c r="D46" s="5">
        <v>-2057000</v>
      </c>
      <c r="E46" s="5">
        <v>-178000</v>
      </c>
      <c r="F46" s="5">
        <v>-75000</v>
      </c>
      <c r="G46" s="5">
        <v>-103000</v>
      </c>
      <c r="H46" s="5">
        <v>-97116</v>
      </c>
      <c r="I46" s="5">
        <v>-102947</v>
      </c>
      <c r="J46" s="5">
        <v>-110240</v>
      </c>
      <c r="K46" s="5">
        <v>-76288</v>
      </c>
      <c r="L46" s="5">
        <v>-305079</v>
      </c>
      <c r="M46" s="5">
        <v>-303800</v>
      </c>
      <c r="N46" s="5">
        <v>-424364</v>
      </c>
      <c r="O46" s="5">
        <v>-5937616</v>
      </c>
      <c r="P46" s="5">
        <v>-624484</v>
      </c>
      <c r="Q46" s="5">
        <v>-618965</v>
      </c>
      <c r="R46" s="5"/>
      <c r="S46" s="5"/>
      <c r="T46" s="5"/>
      <c r="U46" s="5"/>
      <c r="V46" s="5"/>
    </row>
    <row r="47" spans="1:22" x14ac:dyDescent="0.15">
      <c r="A47" s="1" t="s">
        <v>256</v>
      </c>
      <c r="B47" s="5">
        <v>-2370000</v>
      </c>
      <c r="C47" s="5">
        <v>-2704000</v>
      </c>
      <c r="D47" s="5">
        <v>-1871000</v>
      </c>
      <c r="E47" s="5">
        <v>-2562000</v>
      </c>
      <c r="F47" s="5">
        <v>-3740000</v>
      </c>
      <c r="G47" s="5">
        <v>-2623000</v>
      </c>
      <c r="H47" s="5">
        <v>-3270378</v>
      </c>
      <c r="I47" s="5">
        <v>-3809769</v>
      </c>
      <c r="J47" s="5">
        <v>-3036164</v>
      </c>
      <c r="K47" s="5">
        <v>-4913827</v>
      </c>
      <c r="L47" s="5">
        <v>-3240048</v>
      </c>
      <c r="M47" s="5">
        <v>-5422566</v>
      </c>
      <c r="N47" s="5">
        <v>-7788759</v>
      </c>
      <c r="O47" s="5">
        <v>-7006021</v>
      </c>
      <c r="P47" s="5">
        <v>-9441235</v>
      </c>
      <c r="Q47" s="5">
        <v>-4737246</v>
      </c>
      <c r="R47" s="5"/>
      <c r="S47" s="5"/>
      <c r="T47" s="5"/>
      <c r="U47" s="5"/>
      <c r="V47" s="5"/>
    </row>
    <row r="48" spans="1:22" x14ac:dyDescent="0.15">
      <c r="A48" s="1" t="s">
        <v>259</v>
      </c>
      <c r="B48" s="14">
        <f>SUM(B46:B47)</f>
        <v>-2516000</v>
      </c>
      <c r="C48" s="14">
        <f t="shared" ref="C48:O48" si="7">SUM(C46:C47)</f>
        <v>-2953000</v>
      </c>
      <c r="D48" s="14">
        <f t="shared" si="7"/>
        <v>-3928000</v>
      </c>
      <c r="E48" s="14">
        <f t="shared" si="7"/>
        <v>-2740000</v>
      </c>
      <c r="F48" s="14">
        <f t="shared" si="7"/>
        <v>-3815000</v>
      </c>
      <c r="G48" s="14">
        <f t="shared" si="7"/>
        <v>-2726000</v>
      </c>
      <c r="H48" s="14">
        <f t="shared" si="7"/>
        <v>-3367494</v>
      </c>
      <c r="I48" s="14">
        <f t="shared" si="7"/>
        <v>-3912716</v>
      </c>
      <c r="J48" s="14">
        <f t="shared" si="7"/>
        <v>-3146404</v>
      </c>
      <c r="K48" s="14">
        <f t="shared" si="7"/>
        <v>-4990115</v>
      </c>
      <c r="L48" s="14">
        <f t="shared" si="7"/>
        <v>-3545127</v>
      </c>
      <c r="M48" s="14">
        <f t="shared" si="7"/>
        <v>-5726366</v>
      </c>
      <c r="N48" s="14">
        <f t="shared" si="7"/>
        <v>-8213123</v>
      </c>
      <c r="O48" s="14">
        <f t="shared" si="7"/>
        <v>-12943637</v>
      </c>
      <c r="P48" s="14">
        <f t="shared" ref="P48" si="8">SUM(P46:P47)</f>
        <v>-10065719</v>
      </c>
      <c r="Q48" s="14">
        <f t="shared" ref="Q48" si="9">SUM(Q46:Q47)</f>
        <v>-5356211</v>
      </c>
      <c r="R48" s="14">
        <v>-5149783</v>
      </c>
      <c r="S48" s="14">
        <v>-6173339</v>
      </c>
      <c r="T48" s="14">
        <v>-4891739</v>
      </c>
      <c r="U48" s="14">
        <v>-2701822</v>
      </c>
      <c r="V48" s="14">
        <v>-3270928</v>
      </c>
    </row>
    <row r="49" spans="1:22" ht="13" thickBot="1" x14ac:dyDescent="0.2">
      <c r="A49" s="2" t="s">
        <v>260</v>
      </c>
      <c r="B49" s="9">
        <f>B40+B44+B48</f>
        <v>36754000</v>
      </c>
      <c r="C49" s="9">
        <f t="shared" ref="C49:O49" si="10">C40+C44+C48</f>
        <v>33584000</v>
      </c>
      <c r="D49" s="9">
        <f t="shared" si="10"/>
        <v>31333000</v>
      </c>
      <c r="E49" s="9">
        <f t="shared" si="10"/>
        <v>31729000</v>
      </c>
      <c r="F49" s="9">
        <f t="shared" si="10"/>
        <v>34801000</v>
      </c>
      <c r="G49" s="9">
        <f t="shared" si="10"/>
        <v>35305000</v>
      </c>
      <c r="H49" s="9">
        <f t="shared" si="10"/>
        <v>37788000</v>
      </c>
      <c r="I49" s="9">
        <f t="shared" si="10"/>
        <v>36677000</v>
      </c>
      <c r="J49" s="9">
        <f t="shared" si="10"/>
        <v>35360000</v>
      </c>
      <c r="K49" s="9">
        <f t="shared" si="10"/>
        <v>39078000</v>
      </c>
      <c r="L49" s="9">
        <f t="shared" si="10"/>
        <v>37996000</v>
      </c>
      <c r="M49" s="9">
        <f t="shared" si="10"/>
        <v>38198700</v>
      </c>
      <c r="N49" s="9">
        <f t="shared" si="10"/>
        <v>39490000</v>
      </c>
      <c r="O49" s="9">
        <f t="shared" si="10"/>
        <v>39238000</v>
      </c>
      <c r="P49" s="9">
        <f t="shared" ref="P49" si="11">P40+P44+P48</f>
        <v>36975000</v>
      </c>
      <c r="Q49" s="9">
        <f t="shared" ref="Q49:R49" si="12">Q40+Q44+Q48</f>
        <v>36906000</v>
      </c>
      <c r="R49" s="9">
        <f t="shared" si="12"/>
        <v>34857000</v>
      </c>
      <c r="S49" s="9">
        <f t="shared" ref="S49" si="13">S40+S44+S48</f>
        <v>31842000</v>
      </c>
      <c r="T49" s="9">
        <f t="shared" ref="T49" si="14">T40+T44+T48</f>
        <v>30031000</v>
      </c>
      <c r="U49" s="9">
        <f t="shared" ref="U49" si="15">U40+U44+U48</f>
        <v>25630000</v>
      </c>
      <c r="V49" s="9">
        <f t="shared" ref="V49" si="16">V40+V44+V48</f>
        <v>21460000</v>
      </c>
    </row>
    <row r="50" spans="1:22" ht="13" thickTop="1" x14ac:dyDescent="0.15">
      <c r="B50" s="5"/>
      <c r="C50" s="5"/>
      <c r="D50" s="5"/>
      <c r="E50" s="5"/>
      <c r="F50" s="5"/>
      <c r="G50" s="5"/>
      <c r="H50" s="5"/>
      <c r="I50" s="5"/>
      <c r="J50" s="5"/>
      <c r="K50" s="5"/>
      <c r="L50" s="5"/>
      <c r="M50" s="5"/>
      <c r="N50" s="5"/>
      <c r="O50" s="5"/>
    </row>
    <row r="51" spans="1:22" x14ac:dyDescent="0.15">
      <c r="A51" s="2" t="s">
        <v>261</v>
      </c>
      <c r="B51" s="43">
        <f>'Operating History Analysis'!D8</f>
        <v>273885000</v>
      </c>
      <c r="C51" s="43">
        <f>'Operating History Analysis'!E8</f>
        <v>205418000</v>
      </c>
      <c r="D51" s="43">
        <f>'Operating History Analysis'!F8</f>
        <v>145842000</v>
      </c>
      <c r="E51" s="43">
        <f>'Operating History Analysis'!G8</f>
        <v>138125000</v>
      </c>
      <c r="F51" s="43">
        <f>'Operating History Analysis'!H8</f>
        <v>140502000</v>
      </c>
      <c r="G51" s="43">
        <f>'Operating History Analysis'!I8</f>
        <v>122522000</v>
      </c>
      <c r="H51" s="43">
        <f>'Operating History Analysis'!J8</f>
        <v>112475686</v>
      </c>
      <c r="I51" s="43">
        <f>'Operating History Analysis'!K8</f>
        <v>109963556</v>
      </c>
      <c r="J51" s="43">
        <f>'Operating History Analysis'!L8</f>
        <v>113886266</v>
      </c>
      <c r="K51" s="43">
        <f>'Operating History Analysis'!M8</f>
        <v>102331102</v>
      </c>
      <c r="L51" s="43">
        <f>'Operating History Analysis'!N8</f>
        <v>81529333</v>
      </c>
      <c r="M51" s="43">
        <f>'Operating History Analysis'!O8</f>
        <v>61462441</v>
      </c>
      <c r="N51" s="43">
        <f>'Operating History Analysis'!P8</f>
        <v>62155251</v>
      </c>
      <c r="O51" s="43">
        <f>'Operating History Analysis'!Q8</f>
        <v>63662187</v>
      </c>
      <c r="P51" s="43">
        <f>'Operating History Analysis'!R8</f>
        <v>69983989</v>
      </c>
      <c r="Q51" s="43">
        <f>'Operating History Analysis'!S8</f>
        <v>70196467</v>
      </c>
      <c r="R51" s="43">
        <f>'Operating History Analysis'!T8</f>
        <v>76522266</v>
      </c>
      <c r="S51" s="43">
        <f>'Operating History Analysis'!U8</f>
        <v>71775157</v>
      </c>
      <c r="T51" s="43">
        <f>'Operating History Analysis'!V8</f>
        <v>83927312</v>
      </c>
      <c r="U51" s="43">
        <f>'Operating History Analysis'!W8</f>
        <v>67298617</v>
      </c>
      <c r="V51" s="43">
        <f>'Operating History Analysis'!X8</f>
        <v>58800545</v>
      </c>
    </row>
    <row r="52" spans="1:22" x14ac:dyDescent="0.15">
      <c r="A52" s="1" t="s">
        <v>262</v>
      </c>
      <c r="B52" s="5">
        <f>B44</f>
        <v>5686000</v>
      </c>
      <c r="C52" s="5">
        <f t="shared" ref="C52:V52" si="17">C44</f>
        <v>5204000</v>
      </c>
      <c r="D52" s="5">
        <f t="shared" si="17"/>
        <v>3532000</v>
      </c>
      <c r="E52" s="5">
        <f t="shared" si="17"/>
        <v>-332000</v>
      </c>
      <c r="F52" s="5">
        <f t="shared" si="17"/>
        <v>3311000</v>
      </c>
      <c r="G52" s="5">
        <f t="shared" si="17"/>
        <v>243000</v>
      </c>
      <c r="H52" s="5">
        <f t="shared" si="17"/>
        <v>4478494</v>
      </c>
      <c r="I52" s="5">
        <f t="shared" si="17"/>
        <v>5229716</v>
      </c>
      <c r="J52" s="5">
        <f t="shared" si="17"/>
        <v>-571596</v>
      </c>
      <c r="K52" s="5">
        <f t="shared" si="17"/>
        <v>6072115</v>
      </c>
      <c r="L52" s="5">
        <f t="shared" si="17"/>
        <v>3342427</v>
      </c>
      <c r="M52" s="5">
        <f t="shared" si="17"/>
        <v>4435066</v>
      </c>
      <c r="N52" s="5">
        <f t="shared" si="17"/>
        <v>8465123</v>
      </c>
      <c r="O52" s="5">
        <f t="shared" si="17"/>
        <v>15206637</v>
      </c>
      <c r="P52" s="5">
        <f t="shared" si="17"/>
        <v>10134719</v>
      </c>
      <c r="Q52" s="5">
        <f t="shared" si="17"/>
        <v>7405211</v>
      </c>
      <c r="R52" s="5">
        <f t="shared" si="17"/>
        <v>8164783</v>
      </c>
      <c r="S52" s="5">
        <f t="shared" si="17"/>
        <v>7984339</v>
      </c>
      <c r="T52" s="5">
        <f t="shared" si="17"/>
        <v>9292739</v>
      </c>
      <c r="U52" s="5">
        <f t="shared" si="17"/>
        <v>6871822</v>
      </c>
      <c r="V52" s="5">
        <f t="shared" si="17"/>
        <v>6786263</v>
      </c>
    </row>
    <row r="53" spans="1:22" x14ac:dyDescent="0.15">
      <c r="A53" s="1" t="s">
        <v>263</v>
      </c>
      <c r="B53" s="31">
        <f>B52/B51</f>
        <v>2.0760538182083722E-2</v>
      </c>
      <c r="C53" s="31">
        <f t="shared" ref="C53:V53" si="18">C52/C51</f>
        <v>2.5333709801477963E-2</v>
      </c>
      <c r="D53" s="31">
        <f t="shared" si="18"/>
        <v>2.4217989330919763E-2</v>
      </c>
      <c r="E53" s="31">
        <f t="shared" si="18"/>
        <v>-2.4036199095022626E-3</v>
      </c>
      <c r="F53" s="31">
        <f t="shared" si="18"/>
        <v>2.3565500846963034E-2</v>
      </c>
      <c r="G53" s="31">
        <f t="shared" si="18"/>
        <v>1.9833172817942898E-3</v>
      </c>
      <c r="H53" s="31">
        <f t="shared" si="18"/>
        <v>3.9817441077887712E-2</v>
      </c>
      <c r="I53" s="31">
        <f t="shared" si="18"/>
        <v>4.7558629333522097E-2</v>
      </c>
      <c r="J53" s="31">
        <f t="shared" si="18"/>
        <v>-5.0190072962792544E-3</v>
      </c>
      <c r="K53" s="31">
        <f t="shared" si="18"/>
        <v>5.9337922501802046E-2</v>
      </c>
      <c r="L53" s="31">
        <f t="shared" si="18"/>
        <v>4.0996618971481096E-2</v>
      </c>
      <c r="M53" s="31">
        <f t="shared" si="18"/>
        <v>7.2158962902238138E-2</v>
      </c>
      <c r="N53" s="31">
        <f t="shared" si="18"/>
        <v>0.13619320755377531</v>
      </c>
      <c r="O53" s="31">
        <f t="shared" si="18"/>
        <v>0.23886450837763396</v>
      </c>
      <c r="P53" s="31">
        <f t="shared" si="18"/>
        <v>0.14481482328765227</v>
      </c>
      <c r="Q53" s="31">
        <f t="shared" si="18"/>
        <v>0.1054926453777225</v>
      </c>
      <c r="R53" s="31">
        <f t="shared" si="18"/>
        <v>0.10669813410909708</v>
      </c>
      <c r="S53" s="31">
        <f t="shared" si="18"/>
        <v>0.11124098272609839</v>
      </c>
      <c r="T53" s="31">
        <f t="shared" si="18"/>
        <v>0.11072365811024663</v>
      </c>
      <c r="U53" s="31">
        <f t="shared" si="18"/>
        <v>0.10210940887537109</v>
      </c>
      <c r="V53" s="31">
        <f t="shared" si="18"/>
        <v>0.11541156633837323</v>
      </c>
    </row>
    <row r="54" spans="1:22" x14ac:dyDescent="0.15">
      <c r="A54" s="1" t="s">
        <v>264</v>
      </c>
      <c r="B54" s="98">
        <f>B42</f>
        <v>11450000</v>
      </c>
      <c r="C54" s="98">
        <f t="shared" ref="C54:Q54" si="19">C42</f>
        <v>8877000</v>
      </c>
      <c r="D54" s="98">
        <f t="shared" si="19"/>
        <v>8610000</v>
      </c>
      <c r="E54" s="98">
        <f t="shared" si="19"/>
        <v>6762000</v>
      </c>
      <c r="F54" s="98">
        <f t="shared" si="19"/>
        <v>7432000</v>
      </c>
      <c r="G54" s="98">
        <f t="shared" si="19"/>
        <v>6673000</v>
      </c>
      <c r="H54" s="98">
        <f t="shared" si="19"/>
        <v>7295013</v>
      </c>
      <c r="I54" s="98">
        <f t="shared" si="19"/>
        <v>6860335</v>
      </c>
      <c r="J54" s="98">
        <f t="shared" si="19"/>
        <v>7239628</v>
      </c>
      <c r="K54" s="98">
        <f t="shared" si="19"/>
        <v>7650959</v>
      </c>
      <c r="L54" s="98">
        <f t="shared" si="19"/>
        <v>6845338</v>
      </c>
      <c r="M54" s="98">
        <f t="shared" si="19"/>
        <v>6744917</v>
      </c>
      <c r="N54" s="98">
        <f t="shared" si="19"/>
        <v>7726693</v>
      </c>
      <c r="O54" s="98">
        <f t="shared" si="19"/>
        <v>15564722</v>
      </c>
      <c r="P54" s="98">
        <f t="shared" si="19"/>
        <v>9787529</v>
      </c>
      <c r="Q54" s="98">
        <f t="shared" si="19"/>
        <v>9845776</v>
      </c>
      <c r="R54" s="98"/>
      <c r="S54" s="98"/>
      <c r="T54" s="98"/>
      <c r="U54" s="98"/>
      <c r="V54" s="98"/>
    </row>
    <row r="55" spans="1:22" x14ac:dyDescent="0.15">
      <c r="A55" s="1" t="s">
        <v>265</v>
      </c>
      <c r="B55" s="31">
        <f>B54/B51</f>
        <v>4.1805867426109498E-2</v>
      </c>
      <c r="C55" s="31">
        <f t="shared" ref="C55:Q55" si="20">C54/C51</f>
        <v>4.3214323963820113E-2</v>
      </c>
      <c r="D55" s="31">
        <f t="shared" si="20"/>
        <v>5.9036491545645289E-2</v>
      </c>
      <c r="E55" s="31">
        <f t="shared" si="20"/>
        <v>4.8955656108597284E-2</v>
      </c>
      <c r="F55" s="31">
        <f t="shared" si="20"/>
        <v>5.2896044184424423E-2</v>
      </c>
      <c r="G55" s="31">
        <f t="shared" si="20"/>
        <v>5.4463688153964185E-2</v>
      </c>
      <c r="H55" s="31">
        <f t="shared" si="20"/>
        <v>6.4858577524034844E-2</v>
      </c>
      <c r="I55" s="31">
        <f t="shared" si="20"/>
        <v>6.2387351314830163E-2</v>
      </c>
      <c r="J55" s="31">
        <f t="shared" si="20"/>
        <v>6.356892937380175E-2</v>
      </c>
      <c r="K55" s="31">
        <f t="shared" si="20"/>
        <v>7.4766701916295197E-2</v>
      </c>
      <c r="L55" s="31">
        <f t="shared" si="20"/>
        <v>8.3961658315050855E-2</v>
      </c>
      <c r="M55" s="31">
        <f t="shared" si="20"/>
        <v>0.109740467353062</v>
      </c>
      <c r="N55" s="31">
        <f t="shared" si="20"/>
        <v>0.12431279539036855</v>
      </c>
      <c r="O55" s="31">
        <f t="shared" si="20"/>
        <v>0.24448927587109126</v>
      </c>
      <c r="P55" s="31">
        <f t="shared" si="20"/>
        <v>0.13985383142421334</v>
      </c>
      <c r="Q55" s="31">
        <f t="shared" si="20"/>
        <v>0.14026027834135868</v>
      </c>
      <c r="R55" s="31"/>
      <c r="S55" s="31"/>
      <c r="T55" s="31"/>
      <c r="U55" s="31"/>
      <c r="V55" s="31"/>
    </row>
    <row r="56" spans="1:22" x14ac:dyDescent="0.15">
      <c r="B56" s="16"/>
      <c r="C56" s="16"/>
      <c r="D56" s="16"/>
      <c r="E56" s="16"/>
      <c r="F56" s="16"/>
      <c r="G56" s="16"/>
      <c r="H56" s="16"/>
      <c r="I56" s="16"/>
      <c r="J56" s="16"/>
      <c r="K56" s="16"/>
      <c r="L56" s="16"/>
      <c r="M56" s="16"/>
      <c r="N56" s="16"/>
      <c r="O56" s="16"/>
      <c r="P56" s="16"/>
      <c r="Q56" s="16"/>
      <c r="R56" s="16"/>
      <c r="S56" s="16"/>
      <c r="T56" s="16"/>
      <c r="U56" s="16"/>
      <c r="V56" s="16"/>
    </row>
    <row r="57" spans="1:22" x14ac:dyDescent="0.15">
      <c r="A57" s="99"/>
      <c r="B57" s="69">
        <v>2021</v>
      </c>
      <c r="C57" s="69">
        <v>2020</v>
      </c>
      <c r="D57" s="69">
        <v>2019</v>
      </c>
      <c r="E57" s="69">
        <v>2018</v>
      </c>
      <c r="F57" s="69">
        <v>2017</v>
      </c>
      <c r="G57" s="69">
        <v>2016</v>
      </c>
      <c r="H57" s="69">
        <v>2015</v>
      </c>
      <c r="I57" s="69">
        <v>2014</v>
      </c>
      <c r="J57" s="69">
        <v>2013</v>
      </c>
      <c r="K57" s="69">
        <v>2012</v>
      </c>
      <c r="L57" s="69">
        <v>2011</v>
      </c>
      <c r="M57" s="69">
        <v>2010</v>
      </c>
      <c r="N57" s="69">
        <v>2009</v>
      </c>
      <c r="O57" s="69">
        <v>2008</v>
      </c>
      <c r="P57" s="69">
        <v>2007</v>
      </c>
      <c r="Q57" s="69">
        <v>2006</v>
      </c>
      <c r="R57" s="69">
        <v>2005</v>
      </c>
      <c r="S57" s="69">
        <v>2004</v>
      </c>
      <c r="T57" s="69">
        <v>2003</v>
      </c>
      <c r="U57" s="69">
        <v>2002</v>
      </c>
      <c r="V57" s="69">
        <v>2001</v>
      </c>
    </row>
    <row r="58" spans="1:22" x14ac:dyDescent="0.15">
      <c r="A58" s="2" t="s">
        <v>266</v>
      </c>
      <c r="C58" s="5"/>
      <c r="D58" s="5"/>
      <c r="E58" s="5"/>
      <c r="F58" s="5"/>
      <c r="G58" s="5"/>
    </row>
    <row r="59" spans="1:22" x14ac:dyDescent="0.15">
      <c r="A59" s="1" t="s">
        <v>267</v>
      </c>
      <c r="B59" s="5">
        <v>51931000</v>
      </c>
      <c r="C59" s="5">
        <v>34095000</v>
      </c>
      <c r="D59" s="5">
        <v>20916000</v>
      </c>
      <c r="E59" s="5">
        <v>24386000</v>
      </c>
      <c r="F59" s="5">
        <v>19893000</v>
      </c>
      <c r="G59" s="5">
        <v>22567000</v>
      </c>
      <c r="H59" s="5">
        <v>16916506</v>
      </c>
      <c r="I59" s="5">
        <v>9683980</v>
      </c>
      <c r="J59" s="5">
        <v>15304485</v>
      </c>
      <c r="K59" s="5">
        <v>8685413</v>
      </c>
      <c r="L59" s="5">
        <v>9007159</v>
      </c>
      <c r="M59" s="5">
        <v>4226501</v>
      </c>
      <c r="N59" s="5">
        <v>7381269</v>
      </c>
      <c r="O59" s="5">
        <v>1309473</v>
      </c>
      <c r="P59" s="5">
        <v>10354960</v>
      </c>
      <c r="Q59" s="5">
        <v>18554831</v>
      </c>
      <c r="R59" s="5">
        <v>17383090</v>
      </c>
      <c r="S59" s="5">
        <v>14658038</v>
      </c>
      <c r="T59" s="5">
        <v>17138683</v>
      </c>
      <c r="U59" s="5">
        <v>12843431</v>
      </c>
      <c r="V59" s="5">
        <v>8785176</v>
      </c>
    </row>
    <row r="60" spans="1:22" x14ac:dyDescent="0.15">
      <c r="A60" s="1" t="s">
        <v>268</v>
      </c>
      <c r="B60" s="5">
        <v>6534000</v>
      </c>
      <c r="C60" s="5">
        <v>3202000</v>
      </c>
      <c r="D60" s="5">
        <v>1486000</v>
      </c>
      <c r="E60" s="5">
        <v>1859000</v>
      </c>
      <c r="F60" s="5">
        <v>2884000</v>
      </c>
      <c r="G60" s="5">
        <v>2457000</v>
      </c>
      <c r="H60" s="5">
        <v>2742619</v>
      </c>
      <c r="I60" s="5">
        <v>2017379</v>
      </c>
      <c r="J60" s="5">
        <v>1424108</v>
      </c>
      <c r="K60" s="5">
        <v>568728</v>
      </c>
      <c r="L60" s="5">
        <v>361207</v>
      </c>
      <c r="M60" s="5">
        <v>317530</v>
      </c>
      <c r="N60" s="5">
        <v>171050</v>
      </c>
      <c r="O60" s="5">
        <v>493681</v>
      </c>
      <c r="P60" s="5">
        <v>463828</v>
      </c>
      <c r="Q60" s="5">
        <v>1902619</v>
      </c>
      <c r="R60" s="5">
        <v>1897230</v>
      </c>
      <c r="S60" s="5">
        <v>1504787</v>
      </c>
      <c r="T60" s="5">
        <v>894238</v>
      </c>
      <c r="U60" s="5">
        <v>691968</v>
      </c>
      <c r="V60" s="5">
        <v>392157</v>
      </c>
    </row>
    <row r="61" spans="1:22" ht="13" thickBot="1" x14ac:dyDescent="0.2">
      <c r="A61" s="2" t="s">
        <v>269</v>
      </c>
      <c r="B61" s="9">
        <f>B59-B60</f>
        <v>45397000</v>
      </c>
      <c r="C61" s="9">
        <f>C59-C60</f>
        <v>30893000</v>
      </c>
      <c r="D61" s="9">
        <f t="shared" ref="D61:V61" si="21">D59-D60</f>
        <v>19430000</v>
      </c>
      <c r="E61" s="9">
        <f t="shared" si="21"/>
        <v>22527000</v>
      </c>
      <c r="F61" s="9">
        <f t="shared" si="21"/>
        <v>17009000</v>
      </c>
      <c r="G61" s="9">
        <f t="shared" si="21"/>
        <v>20110000</v>
      </c>
      <c r="H61" s="9">
        <f t="shared" si="21"/>
        <v>14173887</v>
      </c>
      <c r="I61" s="9">
        <f t="shared" si="21"/>
        <v>7666601</v>
      </c>
      <c r="J61" s="9">
        <f t="shared" si="21"/>
        <v>13880377</v>
      </c>
      <c r="K61" s="9">
        <f t="shared" si="21"/>
        <v>8116685</v>
      </c>
      <c r="L61" s="9">
        <f t="shared" si="21"/>
        <v>8645952</v>
      </c>
      <c r="M61" s="9">
        <f t="shared" si="21"/>
        <v>3908971</v>
      </c>
      <c r="N61" s="9">
        <f t="shared" si="21"/>
        <v>7210219</v>
      </c>
      <c r="O61" s="9">
        <f t="shared" si="21"/>
        <v>815792</v>
      </c>
      <c r="P61" s="9">
        <f t="shared" si="21"/>
        <v>9891132</v>
      </c>
      <c r="Q61" s="9">
        <f t="shared" si="21"/>
        <v>16652212</v>
      </c>
      <c r="R61" s="9">
        <f t="shared" si="21"/>
        <v>15485860</v>
      </c>
      <c r="S61" s="9">
        <f t="shared" si="21"/>
        <v>13153251</v>
      </c>
      <c r="T61" s="9">
        <f t="shared" si="21"/>
        <v>16244445</v>
      </c>
      <c r="U61" s="9">
        <f t="shared" si="21"/>
        <v>12151463</v>
      </c>
      <c r="V61" s="9">
        <f t="shared" si="21"/>
        <v>8393019</v>
      </c>
    </row>
    <row r="62" spans="1:22" ht="13" thickTop="1" x14ac:dyDescent="0.15">
      <c r="B62" s="5"/>
      <c r="C62" s="5"/>
      <c r="D62" s="5"/>
      <c r="E62" s="5"/>
      <c r="F62" s="5"/>
      <c r="G62" s="5"/>
      <c r="H62" s="5"/>
      <c r="I62" s="5"/>
      <c r="J62" s="5"/>
      <c r="K62" s="5"/>
      <c r="L62" s="5"/>
      <c r="M62" s="5"/>
      <c r="N62" s="5"/>
      <c r="O62" s="5"/>
      <c r="P62" s="5"/>
      <c r="Q62" s="5"/>
      <c r="R62" s="5"/>
      <c r="S62" s="5"/>
      <c r="T62" s="5"/>
      <c r="U62" s="5"/>
      <c r="V62" s="5"/>
    </row>
    <row r="63" spans="1:22" x14ac:dyDescent="0.15">
      <c r="A63" s="1" t="s">
        <v>270</v>
      </c>
      <c r="B63" s="5">
        <v>0</v>
      </c>
      <c r="C63" s="5">
        <v>6000</v>
      </c>
      <c r="D63" s="5">
        <v>19000</v>
      </c>
      <c r="E63" s="5">
        <v>29000</v>
      </c>
      <c r="F63" s="5">
        <v>246000</v>
      </c>
      <c r="G63" s="5">
        <v>6220000</v>
      </c>
      <c r="H63" s="5">
        <v>5483953</v>
      </c>
      <c r="I63" s="5">
        <v>1055765</v>
      </c>
      <c r="J63" s="5">
        <v>4262260</v>
      </c>
      <c r="K63" s="5">
        <v>3975532</v>
      </c>
      <c r="L63" s="5">
        <v>5940463</v>
      </c>
      <c r="M63" s="5">
        <v>378770</v>
      </c>
      <c r="N63" s="5">
        <v>427875</v>
      </c>
      <c r="O63" s="5">
        <v>5972043</v>
      </c>
      <c r="P63" s="5">
        <v>4660259</v>
      </c>
      <c r="Q63" s="5">
        <v>2278180</v>
      </c>
      <c r="R63" s="5">
        <v>3203462</v>
      </c>
      <c r="S63" s="5">
        <v>1182654</v>
      </c>
      <c r="T63" s="5">
        <v>986479</v>
      </c>
      <c r="U63" s="5">
        <v>359903</v>
      </c>
      <c r="V63" s="5">
        <v>854138</v>
      </c>
    </row>
    <row r="64" spans="1:22" x14ac:dyDescent="0.15">
      <c r="A64" s="1" t="s">
        <v>271</v>
      </c>
      <c r="B64" s="5">
        <v>37553000</v>
      </c>
      <c r="C64" s="5">
        <v>31716000</v>
      </c>
      <c r="D64" s="5">
        <v>18131000</v>
      </c>
      <c r="E64" s="5">
        <v>23017000</v>
      </c>
      <c r="F64" s="5">
        <v>7073000</v>
      </c>
      <c r="G64" s="5">
        <v>1370000</v>
      </c>
      <c r="H64" s="5">
        <v>789907</v>
      </c>
      <c r="I64" s="5">
        <v>650433</v>
      </c>
      <c r="J64" s="5">
        <v>657914</v>
      </c>
      <c r="K64" s="5">
        <v>603334</v>
      </c>
      <c r="L64" s="5">
        <v>599241</v>
      </c>
      <c r="M64" s="5">
        <v>639734</v>
      </c>
      <c r="N64" s="5">
        <v>641577</v>
      </c>
      <c r="O64" s="5">
        <v>661862</v>
      </c>
      <c r="P64" s="5">
        <v>595808</v>
      </c>
      <c r="Q64" s="5">
        <v>606423</v>
      </c>
      <c r="R64" s="5">
        <v>410202</v>
      </c>
      <c r="S64" s="5">
        <v>374425</v>
      </c>
      <c r="T64" s="5">
        <v>300411</v>
      </c>
      <c r="U64" s="5">
        <v>300557</v>
      </c>
      <c r="V64" s="5">
        <v>342689</v>
      </c>
    </row>
    <row r="65" spans="1:22" ht="13" thickBot="1" x14ac:dyDescent="0.2">
      <c r="A65" s="2" t="s">
        <v>272</v>
      </c>
      <c r="B65" s="9">
        <f>SUM(B63:B64)</f>
        <v>37553000</v>
      </c>
      <c r="C65" s="9">
        <f t="shared" ref="C65:V65" si="22">SUM(C63:C64)</f>
        <v>31722000</v>
      </c>
      <c r="D65" s="9">
        <f t="shared" si="22"/>
        <v>18150000</v>
      </c>
      <c r="E65" s="9">
        <f t="shared" si="22"/>
        <v>23046000</v>
      </c>
      <c r="F65" s="9">
        <f t="shared" si="22"/>
        <v>7319000</v>
      </c>
      <c r="G65" s="9">
        <f t="shared" si="22"/>
        <v>7590000</v>
      </c>
      <c r="H65" s="9">
        <f t="shared" si="22"/>
        <v>6273860</v>
      </c>
      <c r="I65" s="9">
        <f t="shared" si="22"/>
        <v>1706198</v>
      </c>
      <c r="J65" s="9">
        <f t="shared" si="22"/>
        <v>4920174</v>
      </c>
      <c r="K65" s="9">
        <f t="shared" si="22"/>
        <v>4578866</v>
      </c>
      <c r="L65" s="9">
        <f t="shared" si="22"/>
        <v>6539704</v>
      </c>
      <c r="M65" s="9">
        <f t="shared" si="22"/>
        <v>1018504</v>
      </c>
      <c r="N65" s="9">
        <f t="shared" si="22"/>
        <v>1069452</v>
      </c>
      <c r="O65" s="9">
        <f t="shared" si="22"/>
        <v>6633905</v>
      </c>
      <c r="P65" s="9">
        <f t="shared" si="22"/>
        <v>5256067</v>
      </c>
      <c r="Q65" s="9">
        <f t="shared" si="22"/>
        <v>2884603</v>
      </c>
      <c r="R65" s="9">
        <f t="shared" si="22"/>
        <v>3613664</v>
      </c>
      <c r="S65" s="9">
        <f t="shared" si="22"/>
        <v>1557079</v>
      </c>
      <c r="T65" s="9">
        <f t="shared" si="22"/>
        <v>1286890</v>
      </c>
      <c r="U65" s="9">
        <f t="shared" si="22"/>
        <v>660460</v>
      </c>
      <c r="V65" s="9">
        <f t="shared" si="22"/>
        <v>1196827</v>
      </c>
    </row>
    <row r="66" spans="1:22" ht="13" thickTop="1" x14ac:dyDescent="0.15">
      <c r="B66" s="5"/>
      <c r="C66" s="5"/>
      <c r="D66" s="5"/>
      <c r="E66" s="5"/>
      <c r="F66" s="5"/>
      <c r="G66" s="5"/>
      <c r="H66" s="5"/>
      <c r="I66" s="5"/>
      <c r="J66" s="5"/>
      <c r="K66" s="5"/>
      <c r="L66" s="5"/>
      <c r="M66" s="5"/>
      <c r="N66" s="5"/>
    </row>
    <row r="67" spans="1:22" x14ac:dyDescent="0.15">
      <c r="A67" s="7" t="s">
        <v>273</v>
      </c>
      <c r="B67" s="63">
        <f>B65/B61</f>
        <v>0.82721325197700291</v>
      </c>
      <c r="C67" s="63">
        <f t="shared" ref="C67:V67" si="23">C65/C61</f>
        <v>1.0268345579904832</v>
      </c>
      <c r="D67" s="63">
        <f t="shared" si="23"/>
        <v>0.93412249099330935</v>
      </c>
      <c r="E67" s="63">
        <f t="shared" si="23"/>
        <v>1.0230390198428552</v>
      </c>
      <c r="F67" s="63">
        <f t="shared" si="23"/>
        <v>0.43030160503262976</v>
      </c>
      <c r="G67" s="63">
        <f t="shared" si="23"/>
        <v>0.3774241670810542</v>
      </c>
      <c r="H67" s="63">
        <f t="shared" si="23"/>
        <v>0.44263510778659376</v>
      </c>
      <c r="I67" s="63">
        <f t="shared" si="23"/>
        <v>0.22254947140199419</v>
      </c>
      <c r="J67" s="63">
        <f t="shared" si="23"/>
        <v>0.35446976692347765</v>
      </c>
      <c r="K67" s="63">
        <f t="shared" si="23"/>
        <v>0.56413006048651637</v>
      </c>
      <c r="L67" s="63">
        <f t="shared" si="23"/>
        <v>0.75638911712672008</v>
      </c>
      <c r="M67" s="63">
        <f t="shared" si="23"/>
        <v>0.26055552727303427</v>
      </c>
      <c r="N67" s="63">
        <f t="shared" si="23"/>
        <v>0.14832448223833422</v>
      </c>
      <c r="O67" s="63">
        <f t="shared" si="23"/>
        <v>8.1318583658579637</v>
      </c>
      <c r="P67" s="63">
        <f t="shared" si="23"/>
        <v>0.53139185686734336</v>
      </c>
      <c r="Q67" s="63">
        <f t="shared" si="23"/>
        <v>0.17322641580590015</v>
      </c>
      <c r="R67" s="63">
        <f t="shared" si="23"/>
        <v>0.23335249059464569</v>
      </c>
      <c r="S67" s="63">
        <f t="shared" si="23"/>
        <v>0.11837978306655898</v>
      </c>
      <c r="T67" s="63">
        <f t="shared" si="23"/>
        <v>7.9220311928169904E-2</v>
      </c>
      <c r="U67" s="63">
        <f t="shared" si="23"/>
        <v>5.4352303093051432E-2</v>
      </c>
      <c r="V67" s="63">
        <f t="shared" si="23"/>
        <v>0.14259791381384934</v>
      </c>
    </row>
    <row r="68" spans="1:22" x14ac:dyDescent="0.15">
      <c r="B68" s="5"/>
      <c r="C68" s="5"/>
      <c r="D68" s="5"/>
      <c r="E68" s="5"/>
      <c r="F68" s="5"/>
      <c r="G68" s="5"/>
      <c r="H68" s="5"/>
      <c r="I68" s="5"/>
      <c r="J68" s="5"/>
      <c r="K68" s="5"/>
      <c r="L68" s="5"/>
      <c r="M68" s="5"/>
      <c r="N68" s="5"/>
    </row>
    <row r="69" spans="1:22" x14ac:dyDescent="0.15">
      <c r="A69" s="1" t="s">
        <v>274</v>
      </c>
      <c r="B69" s="5">
        <f>'Operating History Analysis'!D34</f>
        <v>67020000</v>
      </c>
      <c r="C69" s="5">
        <f>'Operating History Analysis'!E34</f>
        <v>39420000</v>
      </c>
      <c r="D69" s="5">
        <f>'Operating History Analysis'!F34</f>
        <v>31458000</v>
      </c>
      <c r="E69" s="5">
        <f>'Operating History Analysis'!G34</f>
        <v>21892000</v>
      </c>
      <c r="F69" s="5">
        <f>'Operating History Analysis'!H34</f>
        <v>25707000</v>
      </c>
      <c r="G69" s="5">
        <f>'Operating History Analysis'!I34</f>
        <v>19523000</v>
      </c>
      <c r="H69" s="5">
        <f>'Operating History Analysis'!J34</f>
        <v>12533905</v>
      </c>
      <c r="I69" s="5">
        <f>'Operating History Analysis'!K34</f>
        <v>9648975</v>
      </c>
      <c r="J69" s="5">
        <f>'Operating History Analysis'!L34</f>
        <v>14708210</v>
      </c>
      <c r="K69" s="5">
        <f>'Operating History Analysis'!M34</f>
        <v>11102496</v>
      </c>
      <c r="L69" s="5">
        <f>'Operating History Analysis'!N34</f>
        <v>6933936</v>
      </c>
      <c r="M69" s="5">
        <f>'Operating History Analysis'!O34</f>
        <v>6372626</v>
      </c>
      <c r="N69" s="5">
        <f>'Operating History Analysis'!P34</f>
        <v>4828779</v>
      </c>
      <c r="O69" s="5">
        <f>'Operating History Analysis'!Q34</f>
        <v>-1182799</v>
      </c>
      <c r="P69" s="5">
        <f>'Operating History Analysis'!R34</f>
        <v>8402335</v>
      </c>
      <c r="Q69" s="5">
        <f>'Operating History Analysis'!S34</f>
        <v>13185434</v>
      </c>
      <c r="R69" s="5">
        <f>'Operating History Analysis'!T34</f>
        <v>13312923</v>
      </c>
      <c r="S69" s="5">
        <f>'Operating History Analysis'!U34</f>
        <v>10719166</v>
      </c>
      <c r="T69" s="5">
        <f>'Operating History Analysis'!V34</f>
        <v>10965014</v>
      </c>
      <c r="U69" s="5">
        <f>'Operating History Analysis'!W34</f>
        <v>8108842</v>
      </c>
      <c r="V69" s="5">
        <f>'Operating History Analysis'!X34</f>
        <v>6008998</v>
      </c>
    </row>
    <row r="70" spans="1:22" x14ac:dyDescent="0.15">
      <c r="A70" s="1" t="s">
        <v>275</v>
      </c>
      <c r="B70" s="31">
        <f>B61/B69</f>
        <v>0.67736496568188598</v>
      </c>
      <c r="C70" s="31">
        <f t="shared" ref="C70:V70" si="24">C61/C69</f>
        <v>0.78368848300355154</v>
      </c>
      <c r="D70" s="31">
        <f t="shared" si="24"/>
        <v>0.61764892873037069</v>
      </c>
      <c r="E70" s="31">
        <f t="shared" si="24"/>
        <v>1.0290060295998538</v>
      </c>
      <c r="F70" s="31">
        <f t="shared" si="24"/>
        <v>0.66164857820827017</v>
      </c>
      <c r="G70" s="31">
        <f t="shared" si="24"/>
        <v>1.0300671003431849</v>
      </c>
      <c r="H70" s="31">
        <f t="shared" si="24"/>
        <v>1.1308436596575449</v>
      </c>
      <c r="I70" s="31">
        <f t="shared" si="24"/>
        <v>0.79455082016483614</v>
      </c>
      <c r="J70" s="31">
        <f t="shared" si="24"/>
        <v>0.94371626458964075</v>
      </c>
      <c r="K70" s="31">
        <f t="shared" si="24"/>
        <v>0.73106849126538753</v>
      </c>
      <c r="L70" s="31">
        <f t="shared" si="24"/>
        <v>1.2469039229666961</v>
      </c>
      <c r="M70" s="31">
        <f t="shared" si="24"/>
        <v>0.61340034704688462</v>
      </c>
      <c r="N70" s="31">
        <f t="shared" si="24"/>
        <v>1.4931764323859096</v>
      </c>
      <c r="O70" s="31">
        <f t="shared" si="24"/>
        <v>-0.68971312961881093</v>
      </c>
      <c r="P70" s="31">
        <f t="shared" si="24"/>
        <v>1.1771884839154829</v>
      </c>
      <c r="Q70" s="31">
        <f t="shared" si="24"/>
        <v>1.2629248305364844</v>
      </c>
      <c r="R70" s="31">
        <f t="shared" si="24"/>
        <v>1.1632201282918859</v>
      </c>
      <c r="S70" s="31">
        <f t="shared" si="24"/>
        <v>1.2270778342270285</v>
      </c>
      <c r="T70" s="31">
        <f t="shared" si="24"/>
        <v>1.48147964060967</v>
      </c>
      <c r="U70" s="31">
        <f t="shared" si="24"/>
        <v>1.4985447983818159</v>
      </c>
      <c r="V70" s="31">
        <f t="shared" si="24"/>
        <v>1.3967418528014155</v>
      </c>
    </row>
    <row r="71" spans="1:22" x14ac:dyDescent="0.15">
      <c r="B71" s="5"/>
      <c r="C71" s="5"/>
      <c r="D71" s="5"/>
      <c r="E71" s="5"/>
      <c r="F71" s="5"/>
      <c r="G71" s="5"/>
      <c r="H71" s="5"/>
      <c r="I71" s="5"/>
      <c r="J71" s="5"/>
      <c r="K71" s="5"/>
      <c r="L71" s="5"/>
      <c r="M71" s="5"/>
      <c r="N71" s="5"/>
    </row>
    <row r="72" spans="1:22" x14ac:dyDescent="0.15">
      <c r="B72" s="5"/>
      <c r="C72" s="5"/>
      <c r="D72" s="5"/>
      <c r="E72" s="5"/>
      <c r="F72" s="5"/>
      <c r="G72" s="5"/>
      <c r="H72" s="5"/>
      <c r="I72" s="5"/>
      <c r="J72" s="5"/>
      <c r="K72" s="5"/>
      <c r="L72" s="5"/>
      <c r="M72" s="5"/>
      <c r="N72" s="5"/>
    </row>
    <row r="73" spans="1:22" x14ac:dyDescent="0.15">
      <c r="B73" s="5"/>
      <c r="C73" s="5"/>
      <c r="D73" s="5"/>
      <c r="E73" s="5"/>
      <c r="F73" s="5"/>
      <c r="G73" s="5"/>
      <c r="H73" s="5"/>
      <c r="I73" s="5"/>
      <c r="J73" s="5"/>
      <c r="K73" s="5"/>
      <c r="L73" s="5"/>
      <c r="M73" s="5"/>
      <c r="N73" s="5"/>
    </row>
    <row r="74" spans="1:22" x14ac:dyDescent="0.15">
      <c r="B74" s="5"/>
      <c r="C74" s="5"/>
      <c r="D74" s="5"/>
      <c r="E74" s="5"/>
      <c r="F74" s="5"/>
      <c r="G74" s="5"/>
      <c r="H74" s="5"/>
      <c r="I74" s="5"/>
      <c r="J74" s="5"/>
      <c r="K74" s="5"/>
      <c r="L74" s="5"/>
      <c r="M74" s="5"/>
      <c r="N74" s="5"/>
    </row>
    <row r="75" spans="1:22" x14ac:dyDescent="0.15">
      <c r="B75" s="5"/>
      <c r="C75" s="5"/>
      <c r="D75" s="5"/>
      <c r="E75" s="5"/>
      <c r="F75" s="5"/>
      <c r="G75" s="5"/>
      <c r="H75" s="5"/>
      <c r="I75" s="5"/>
      <c r="J75" s="5"/>
      <c r="K75" s="5"/>
      <c r="L75" s="5"/>
      <c r="M75" s="5"/>
      <c r="N75" s="5"/>
    </row>
    <row r="76" spans="1:22" x14ac:dyDescent="0.15">
      <c r="B76" s="5"/>
      <c r="C76" s="5"/>
      <c r="D76" s="5"/>
      <c r="E76" s="5"/>
      <c r="F76" s="5"/>
      <c r="G76" s="5"/>
      <c r="H76" s="5"/>
      <c r="I76" s="5"/>
      <c r="J76" s="5"/>
      <c r="K76" s="5"/>
      <c r="L76" s="5"/>
      <c r="M76" s="5"/>
      <c r="N76" s="5"/>
    </row>
    <row r="77" spans="1:22" x14ac:dyDescent="0.15">
      <c r="B77" s="5"/>
      <c r="C77" s="5"/>
      <c r="D77" s="5"/>
      <c r="E77" s="5"/>
      <c r="F77" s="5"/>
      <c r="G77" s="5"/>
      <c r="H77" s="5"/>
      <c r="I77" s="5"/>
      <c r="J77" s="5"/>
      <c r="K77" s="5"/>
      <c r="L77" s="5"/>
      <c r="M77" s="5"/>
      <c r="N77" s="5"/>
    </row>
    <row r="78" spans="1:22" x14ac:dyDescent="0.15">
      <c r="B78" s="5"/>
      <c r="C78" s="5"/>
      <c r="D78" s="5"/>
      <c r="E78" s="5"/>
      <c r="F78" s="5"/>
      <c r="G78" s="5"/>
      <c r="H78" s="5"/>
      <c r="I78" s="5"/>
      <c r="J78" s="5"/>
      <c r="K78" s="5"/>
      <c r="L78" s="5"/>
      <c r="M78" s="5"/>
      <c r="N78" s="5"/>
    </row>
    <row r="79" spans="1:22" x14ac:dyDescent="0.15">
      <c r="B79" s="5"/>
      <c r="C79" s="5"/>
      <c r="D79" s="5"/>
      <c r="E79" s="5"/>
      <c r="F79" s="5"/>
      <c r="G79" s="5"/>
      <c r="H79" s="5"/>
      <c r="I79" s="5"/>
      <c r="J79" s="5"/>
      <c r="K79" s="5"/>
      <c r="L79" s="5"/>
      <c r="M79" s="5"/>
      <c r="N79" s="5"/>
    </row>
    <row r="80" spans="1:22" x14ac:dyDescent="0.15">
      <c r="B80" s="5"/>
      <c r="C80" s="5"/>
      <c r="D80" s="5"/>
      <c r="E80" s="5"/>
      <c r="F80" s="5"/>
      <c r="G80" s="5"/>
      <c r="H80" s="5"/>
      <c r="I80" s="5"/>
      <c r="J80" s="5"/>
      <c r="K80" s="5"/>
      <c r="L80" s="5"/>
      <c r="M80" s="5"/>
      <c r="N80" s="5"/>
    </row>
    <row r="81" spans="2:14" x14ac:dyDescent="0.15">
      <c r="B81" s="5"/>
      <c r="C81" s="5"/>
      <c r="D81" s="5"/>
      <c r="E81" s="5"/>
      <c r="F81" s="5"/>
      <c r="G81" s="5"/>
      <c r="H81" s="5"/>
      <c r="I81" s="5"/>
      <c r="J81" s="5"/>
      <c r="K81" s="5"/>
      <c r="L81" s="5"/>
      <c r="M81" s="5"/>
      <c r="N81" s="5"/>
    </row>
    <row r="82" spans="2:14" x14ac:dyDescent="0.15">
      <c r="B82" s="5"/>
      <c r="C82" s="5"/>
      <c r="D82" s="5"/>
      <c r="E82" s="5"/>
      <c r="F82" s="5"/>
      <c r="G82" s="5"/>
      <c r="H82" s="5"/>
      <c r="I82" s="5"/>
      <c r="J82" s="5"/>
      <c r="K82" s="5"/>
      <c r="L82" s="5"/>
      <c r="M82" s="5"/>
      <c r="N82" s="5"/>
    </row>
    <row r="83" spans="2:14" x14ac:dyDescent="0.15">
      <c r="B83" s="5"/>
      <c r="C83" s="5"/>
      <c r="D83" s="5"/>
      <c r="E83" s="5"/>
      <c r="F83" s="5"/>
      <c r="G83" s="5"/>
      <c r="H83" s="5"/>
      <c r="I83" s="5"/>
      <c r="J83" s="5"/>
      <c r="K83" s="5"/>
      <c r="L83" s="5"/>
      <c r="M83" s="5"/>
      <c r="N83" s="5"/>
    </row>
    <row r="84" spans="2:14" x14ac:dyDescent="0.15">
      <c r="B84" s="5"/>
      <c r="C84" s="5"/>
      <c r="D84" s="5"/>
      <c r="E84" s="5"/>
      <c r="F84" s="5"/>
      <c r="G84" s="5"/>
      <c r="H84" s="5"/>
      <c r="I84" s="5"/>
      <c r="J84" s="5"/>
      <c r="K84" s="5"/>
      <c r="L84" s="5"/>
      <c r="M84" s="5"/>
      <c r="N84" s="5"/>
    </row>
    <row r="85" spans="2:14" x14ac:dyDescent="0.15">
      <c r="B85" s="5"/>
      <c r="C85" s="5"/>
      <c r="D85" s="5"/>
      <c r="E85" s="5"/>
      <c r="F85" s="5"/>
      <c r="G85" s="5"/>
      <c r="H85" s="5"/>
      <c r="I85" s="5"/>
      <c r="J85" s="5"/>
      <c r="K85" s="5"/>
      <c r="L85" s="5"/>
      <c r="M85" s="5"/>
      <c r="N85" s="5"/>
    </row>
    <row r="86" spans="2:14" x14ac:dyDescent="0.15">
      <c r="B86" s="5"/>
      <c r="C86" s="5"/>
      <c r="D86" s="5"/>
      <c r="E86" s="5"/>
      <c r="F86" s="5"/>
      <c r="G86" s="5"/>
      <c r="H86" s="5"/>
      <c r="I86" s="5"/>
      <c r="J86" s="5"/>
      <c r="K86" s="5"/>
      <c r="L86" s="5"/>
      <c r="M86" s="5"/>
      <c r="N86" s="5"/>
    </row>
    <row r="87" spans="2:14" x14ac:dyDescent="0.15">
      <c r="B87" s="5"/>
      <c r="C87" s="5"/>
      <c r="D87" s="5"/>
      <c r="E87" s="5"/>
      <c r="F87" s="5"/>
      <c r="G87" s="5"/>
      <c r="H87" s="5"/>
      <c r="I87" s="5"/>
      <c r="J87" s="5"/>
      <c r="K87" s="5"/>
      <c r="L87" s="5"/>
      <c r="M87" s="5"/>
      <c r="N87" s="5"/>
    </row>
    <row r="88" spans="2:14" x14ac:dyDescent="0.15">
      <c r="B88" s="5"/>
      <c r="C88" s="5"/>
      <c r="D88" s="5"/>
      <c r="E88" s="5"/>
      <c r="F88" s="5"/>
      <c r="G88" s="5"/>
      <c r="H88" s="5"/>
      <c r="I88" s="5"/>
      <c r="J88" s="5"/>
      <c r="K88" s="5"/>
      <c r="L88" s="5"/>
      <c r="M88" s="5"/>
      <c r="N88" s="5"/>
    </row>
  </sheetData>
  <pageMargins left="0.7" right="0.7" top="0.75" bottom="0.75" header="0.3" footer="0.3"/>
  <pageSetup orientation="portrait" horizontalDpi="0" verticalDpi="0" r:id="rId1"/>
  <ignoredErrors>
    <ignoredError sqref="B37:N37 O3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73"/>
  <sheetViews>
    <sheetView zoomScale="140" zoomScaleNormal="140" workbookViewId="0">
      <pane ySplit="3" topLeftCell="A4" activePane="bottomLeft" state="frozen"/>
      <selection activeCell="A10" sqref="A10"/>
      <selection pane="bottomLeft" sqref="A1:D1"/>
    </sheetView>
  </sheetViews>
  <sheetFormatPr baseColWidth="10" defaultColWidth="8.83203125" defaultRowHeight="13.5" customHeight="1" x14ac:dyDescent="0.2"/>
  <cols>
    <col min="1" max="1" width="23.5" bestFit="1" customWidth="1"/>
    <col min="2" max="2" width="12.33203125" bestFit="1" customWidth="1"/>
    <col min="3" max="3" width="10.33203125" style="55" customWidth="1"/>
    <col min="4" max="22" width="10.33203125" customWidth="1"/>
  </cols>
  <sheetData>
    <row r="1" spans="1:25" ht="15" x14ac:dyDescent="0.2">
      <c r="A1" s="102" t="s">
        <v>248</v>
      </c>
      <c r="B1" s="102"/>
      <c r="C1" s="102"/>
      <c r="D1" s="102"/>
      <c r="E1" s="67"/>
      <c r="F1" s="67"/>
    </row>
    <row r="2" spans="1:25" ht="13.5" customHeight="1" x14ac:dyDescent="0.2">
      <c r="A2" s="7" t="s">
        <v>218</v>
      </c>
      <c r="B2" s="7"/>
      <c r="C2" s="59"/>
      <c r="D2" s="2"/>
      <c r="E2" s="1"/>
      <c r="F2" s="1"/>
      <c r="G2" s="1"/>
      <c r="H2" s="1"/>
      <c r="I2" s="1"/>
      <c r="J2" s="1"/>
      <c r="K2" s="1"/>
      <c r="L2" s="1"/>
      <c r="M2" s="1"/>
      <c r="N2" s="1"/>
      <c r="O2" s="1"/>
      <c r="P2" s="1"/>
    </row>
    <row r="3" spans="1:25" ht="13.5" customHeight="1" x14ac:dyDescent="0.2">
      <c r="A3" s="56"/>
      <c r="B3" s="64">
        <v>2021</v>
      </c>
      <c r="C3" s="64">
        <v>2020</v>
      </c>
      <c r="D3" s="64">
        <v>2019</v>
      </c>
      <c r="E3" s="64">
        <v>2018</v>
      </c>
      <c r="F3" s="64">
        <v>2017</v>
      </c>
      <c r="G3" s="64">
        <v>2016</v>
      </c>
      <c r="H3" s="64">
        <v>2015</v>
      </c>
      <c r="I3" s="64">
        <v>2014</v>
      </c>
      <c r="J3" s="64">
        <v>2013</v>
      </c>
      <c r="K3" s="64">
        <v>2012</v>
      </c>
      <c r="L3" s="64">
        <v>2011</v>
      </c>
      <c r="M3" s="60">
        <v>2010</v>
      </c>
      <c r="N3" s="60">
        <v>2009</v>
      </c>
      <c r="O3" s="60">
        <v>2008</v>
      </c>
      <c r="P3" s="60">
        <v>2007</v>
      </c>
      <c r="Q3" s="60">
        <v>2006</v>
      </c>
      <c r="R3" s="60">
        <v>2005</v>
      </c>
      <c r="S3" s="60">
        <v>2004</v>
      </c>
      <c r="T3" s="60">
        <v>2003</v>
      </c>
      <c r="U3" s="60">
        <v>2002</v>
      </c>
      <c r="V3" s="60">
        <v>2001</v>
      </c>
      <c r="W3" s="1"/>
      <c r="X3" s="1"/>
      <c r="Y3" s="1"/>
    </row>
    <row r="4" spans="1:25" ht="13.5" customHeight="1" x14ac:dyDescent="0.2">
      <c r="A4" s="1" t="s">
        <v>147</v>
      </c>
      <c r="B4" s="5"/>
      <c r="C4" s="5"/>
      <c r="D4" s="5"/>
      <c r="E4" s="5"/>
      <c r="F4" s="5"/>
      <c r="G4" s="5"/>
      <c r="H4" s="5"/>
      <c r="I4" s="5"/>
      <c r="J4" s="5"/>
      <c r="K4" s="5"/>
      <c r="L4" s="5"/>
      <c r="M4" s="18"/>
      <c r="N4" s="18"/>
      <c r="O4" s="18"/>
      <c r="P4" s="18"/>
      <c r="Q4" s="18"/>
      <c r="R4" s="17">
        <v>1304820</v>
      </c>
      <c r="S4" s="17">
        <v>1361437</v>
      </c>
      <c r="T4" s="17">
        <v>1286681</v>
      </c>
      <c r="U4" s="17">
        <v>654345</v>
      </c>
      <c r="V4" s="17">
        <v>89973</v>
      </c>
      <c r="W4" s="1"/>
      <c r="X4" s="1"/>
      <c r="Y4" s="1"/>
    </row>
    <row r="5" spans="1:25" ht="13.5" customHeight="1" x14ac:dyDescent="0.2">
      <c r="A5" s="1" t="s">
        <v>151</v>
      </c>
      <c r="B5" s="5"/>
      <c r="C5" s="5"/>
      <c r="D5" s="5"/>
      <c r="E5" s="5"/>
      <c r="F5" s="5"/>
      <c r="G5" s="5"/>
      <c r="H5" s="5"/>
      <c r="I5" s="5"/>
      <c r="J5" s="5"/>
      <c r="K5" s="5"/>
      <c r="L5" s="5"/>
      <c r="M5" s="19"/>
      <c r="N5" s="19"/>
      <c r="O5" s="19"/>
      <c r="P5" s="19"/>
      <c r="Q5" s="19"/>
      <c r="R5" s="17"/>
      <c r="S5" s="17"/>
      <c r="T5" s="17">
        <v>21523</v>
      </c>
      <c r="U5" s="17">
        <v>58455</v>
      </c>
      <c r="V5" s="17">
        <v>0</v>
      </c>
      <c r="W5" s="1"/>
      <c r="X5" s="1"/>
      <c r="Y5" s="1"/>
    </row>
    <row r="6" spans="1:25" ht="13.5" customHeight="1" x14ac:dyDescent="0.2">
      <c r="A6" s="1" t="s">
        <v>152</v>
      </c>
      <c r="B6" s="5"/>
      <c r="C6" s="5"/>
      <c r="D6" s="5"/>
      <c r="E6" s="5"/>
      <c r="F6" s="5"/>
      <c r="G6" s="5"/>
      <c r="H6" s="5"/>
      <c r="I6" s="5"/>
      <c r="J6" s="5"/>
      <c r="K6" s="5"/>
      <c r="L6" s="5"/>
      <c r="M6" s="19"/>
      <c r="N6" s="19"/>
      <c r="O6" s="19"/>
      <c r="P6" s="19"/>
      <c r="Q6" s="19"/>
      <c r="R6" s="17"/>
      <c r="S6" s="17"/>
      <c r="T6" s="17">
        <v>9735</v>
      </c>
      <c r="U6" s="17">
        <v>2441</v>
      </c>
      <c r="V6" s="17">
        <v>0</v>
      </c>
      <c r="W6" s="1"/>
      <c r="X6" s="1"/>
      <c r="Y6" s="1"/>
    </row>
    <row r="7" spans="1:25" ht="13.5" customHeight="1" x14ac:dyDescent="0.2">
      <c r="A7" s="1" t="s">
        <v>148</v>
      </c>
      <c r="B7" s="5"/>
      <c r="C7" s="5"/>
      <c r="D7" s="5"/>
      <c r="E7" s="5"/>
      <c r="F7" s="5"/>
      <c r="G7" s="5"/>
      <c r="H7" s="5"/>
      <c r="I7" s="5"/>
      <c r="J7" s="5"/>
      <c r="K7" s="5"/>
      <c r="L7" s="5"/>
      <c r="M7" s="20"/>
      <c r="N7" s="20"/>
      <c r="O7" s="20"/>
      <c r="P7" s="20"/>
      <c r="Q7" s="20"/>
      <c r="R7" s="17">
        <v>1552282</v>
      </c>
      <c r="S7" s="17">
        <v>1190399</v>
      </c>
      <c r="T7" s="17">
        <v>392602</v>
      </c>
      <c r="U7" s="17">
        <v>1745</v>
      </c>
      <c r="V7" s="17">
        <v>10530</v>
      </c>
      <c r="W7" s="1"/>
      <c r="X7" s="1"/>
      <c r="Y7" s="1"/>
    </row>
    <row r="8" spans="1:25" ht="13.5" customHeight="1" x14ac:dyDescent="0.2">
      <c r="A8" s="1" t="s">
        <v>153</v>
      </c>
      <c r="B8" s="5">
        <v>34619000</v>
      </c>
      <c r="C8" s="5">
        <v>23502000</v>
      </c>
      <c r="D8" s="5">
        <v>16422000</v>
      </c>
      <c r="E8" s="5">
        <v>13592000</v>
      </c>
      <c r="F8" s="5">
        <v>13166000</v>
      </c>
      <c r="G8" s="5">
        <v>11342000</v>
      </c>
      <c r="H8" s="5">
        <v>7682820</v>
      </c>
      <c r="I8" s="5">
        <v>4335216</v>
      </c>
      <c r="J8" s="5">
        <v>2738214</v>
      </c>
      <c r="K8" s="5">
        <v>1094854</v>
      </c>
      <c r="L8" s="5"/>
      <c r="M8" s="19"/>
      <c r="N8" s="19"/>
      <c r="O8" s="19"/>
      <c r="P8" s="19"/>
      <c r="Q8" s="19"/>
      <c r="R8" s="17"/>
      <c r="S8" s="17"/>
      <c r="T8" s="17">
        <v>135226</v>
      </c>
      <c r="U8" s="17">
        <v>125580</v>
      </c>
      <c r="V8" s="17">
        <v>315776</v>
      </c>
      <c r="W8" s="1"/>
      <c r="X8" s="1"/>
      <c r="Y8" s="1"/>
    </row>
    <row r="9" spans="1:25" ht="13.5" customHeight="1" x14ac:dyDescent="0.2">
      <c r="A9" s="1" t="s">
        <v>247</v>
      </c>
      <c r="B9" s="5"/>
      <c r="C9" s="5"/>
      <c r="D9" s="5"/>
      <c r="E9" s="5"/>
      <c r="F9" s="5"/>
      <c r="G9" s="5"/>
      <c r="H9" s="5"/>
      <c r="I9" s="5"/>
      <c r="J9" s="5"/>
      <c r="K9" s="5"/>
      <c r="L9" s="5"/>
      <c r="M9" s="21"/>
      <c r="N9" s="5">
        <v>2878781</v>
      </c>
      <c r="O9" s="5">
        <v>2140440</v>
      </c>
      <c r="P9" s="5">
        <v>1653518</v>
      </c>
      <c r="Q9" s="5">
        <v>1115890</v>
      </c>
      <c r="R9" s="5">
        <v>1000273</v>
      </c>
      <c r="S9" s="5">
        <v>948022</v>
      </c>
      <c r="T9" s="5">
        <v>1219212</v>
      </c>
      <c r="U9" s="5">
        <v>57758</v>
      </c>
      <c r="V9" s="5">
        <v>0</v>
      </c>
      <c r="W9" s="1"/>
      <c r="X9" s="1"/>
      <c r="Y9" s="1"/>
    </row>
    <row r="10" spans="1:25" ht="13.5" customHeight="1" x14ac:dyDescent="0.2">
      <c r="A10" s="1" t="s">
        <v>154</v>
      </c>
      <c r="B10" s="5"/>
      <c r="C10" s="5"/>
      <c r="D10" s="5"/>
      <c r="E10" s="5"/>
      <c r="F10" s="5"/>
      <c r="G10" s="5"/>
      <c r="H10" s="5"/>
      <c r="I10" s="5"/>
      <c r="J10" s="5"/>
      <c r="K10" s="5"/>
      <c r="L10" s="5"/>
      <c r="M10" s="22"/>
      <c r="N10" s="5"/>
      <c r="O10" s="5"/>
      <c r="P10" s="5"/>
      <c r="Q10" s="5"/>
      <c r="R10" s="5"/>
      <c r="S10" s="5"/>
      <c r="T10" s="5">
        <v>320191</v>
      </c>
      <c r="U10" s="5">
        <v>296471</v>
      </c>
      <c r="V10" s="5">
        <v>13157</v>
      </c>
      <c r="W10" s="1"/>
      <c r="X10" s="1"/>
      <c r="Y10" s="1"/>
    </row>
    <row r="11" spans="1:25" ht="13.5" customHeight="1" x14ac:dyDescent="0.2">
      <c r="A11" s="1" t="s">
        <v>155</v>
      </c>
      <c r="B11" s="5"/>
      <c r="C11" s="5"/>
      <c r="D11" s="5"/>
      <c r="E11" s="5"/>
      <c r="F11" s="5"/>
      <c r="G11" s="5"/>
      <c r="H11" s="5"/>
      <c r="I11" s="5"/>
      <c r="J11" s="5"/>
      <c r="K11" s="5"/>
      <c r="L11" s="5"/>
      <c r="M11" s="22"/>
      <c r="N11" s="5"/>
      <c r="O11" s="5"/>
      <c r="P11" s="5"/>
      <c r="Q11" s="5"/>
      <c r="R11" s="5"/>
      <c r="S11" s="5"/>
      <c r="T11" s="5">
        <v>0</v>
      </c>
      <c r="U11" s="5">
        <v>0</v>
      </c>
      <c r="V11" s="5">
        <v>31770</v>
      </c>
      <c r="W11" s="1"/>
      <c r="X11" s="1"/>
      <c r="Y11" s="1"/>
    </row>
    <row r="12" spans="1:25" ht="13.5" customHeight="1" x14ac:dyDescent="0.2">
      <c r="A12" s="1" t="s">
        <v>39</v>
      </c>
      <c r="B12" s="5"/>
      <c r="C12" s="5"/>
      <c r="D12" s="5"/>
      <c r="E12" s="5"/>
      <c r="F12" s="5"/>
      <c r="G12" s="5"/>
      <c r="H12" s="5"/>
      <c r="I12" s="5"/>
      <c r="J12" s="5"/>
      <c r="K12" s="5"/>
      <c r="L12" s="5"/>
      <c r="M12" s="5">
        <v>3209708</v>
      </c>
      <c r="N12" s="5">
        <v>3194530</v>
      </c>
      <c r="O12" s="5">
        <v>2957744</v>
      </c>
      <c r="P12" s="5">
        <v>2563039</v>
      </c>
      <c r="Q12" s="5">
        <v>2292194</v>
      </c>
      <c r="R12" s="5">
        <v>2115579</v>
      </c>
      <c r="S12" s="5">
        <v>1710387</v>
      </c>
      <c r="T12" s="5">
        <v>1800258</v>
      </c>
      <c r="U12" s="5">
        <v>1282772</v>
      </c>
      <c r="V12" s="5">
        <v>131089</v>
      </c>
      <c r="W12" s="1"/>
      <c r="X12" s="1"/>
      <c r="Y12" s="1"/>
    </row>
    <row r="13" spans="1:25" ht="13.5" customHeight="1" x14ac:dyDescent="0.2">
      <c r="A13" s="1" t="s">
        <v>156</v>
      </c>
      <c r="B13" s="5"/>
      <c r="C13" s="5"/>
      <c r="D13" s="5"/>
      <c r="E13" s="5"/>
      <c r="F13" s="5"/>
      <c r="G13" s="5"/>
      <c r="H13" s="5"/>
      <c r="I13" s="5"/>
      <c r="J13" s="5"/>
      <c r="K13" s="5"/>
      <c r="L13" s="5"/>
      <c r="M13" s="5"/>
      <c r="N13" s="5"/>
      <c r="O13" s="5"/>
      <c r="P13" s="5"/>
      <c r="Q13" s="5"/>
      <c r="R13" s="5"/>
      <c r="S13" s="5"/>
      <c r="T13" s="5">
        <v>2786</v>
      </c>
      <c r="U13" s="5">
        <v>0</v>
      </c>
      <c r="V13" s="5">
        <v>0</v>
      </c>
      <c r="W13" s="1"/>
      <c r="X13" s="1"/>
      <c r="Y13" s="1"/>
    </row>
    <row r="14" spans="1:25" ht="13.5" customHeight="1" x14ac:dyDescent="0.2">
      <c r="A14" s="1" t="s">
        <v>145</v>
      </c>
      <c r="B14" s="5"/>
      <c r="C14" s="5"/>
      <c r="D14" s="5"/>
      <c r="E14" s="5"/>
      <c r="F14" s="5"/>
      <c r="G14" s="5"/>
      <c r="H14" s="5"/>
      <c r="I14" s="5"/>
      <c r="J14" s="5"/>
      <c r="K14" s="5"/>
      <c r="L14" s="5"/>
      <c r="M14" s="23"/>
      <c r="N14" s="23"/>
      <c r="O14" s="23"/>
      <c r="P14" s="5">
        <v>1167576</v>
      </c>
      <c r="Q14" s="5">
        <v>1532915</v>
      </c>
      <c r="R14" s="5">
        <v>1754867</v>
      </c>
      <c r="S14" s="5">
        <v>1494686</v>
      </c>
      <c r="T14" s="5">
        <v>1707678</v>
      </c>
      <c r="U14" s="5">
        <v>1428140</v>
      </c>
      <c r="V14" s="5">
        <v>1029820</v>
      </c>
      <c r="W14" s="1"/>
      <c r="X14" s="1"/>
      <c r="Y14" s="1"/>
    </row>
    <row r="15" spans="1:25" ht="13.5" customHeight="1" x14ac:dyDescent="0.2">
      <c r="A15" s="1" t="s">
        <v>40</v>
      </c>
      <c r="B15" s="5"/>
      <c r="C15" s="5"/>
      <c r="D15" s="5"/>
      <c r="E15" s="5"/>
      <c r="F15" s="5"/>
      <c r="G15" s="5"/>
      <c r="H15" s="5">
        <v>4631176</v>
      </c>
      <c r="I15" s="5">
        <v>3673649</v>
      </c>
      <c r="J15" s="5">
        <v>5254631</v>
      </c>
      <c r="K15" s="5">
        <v>5098116</v>
      </c>
      <c r="L15" s="5">
        <v>4344196</v>
      </c>
      <c r="M15" s="5">
        <v>4151277</v>
      </c>
      <c r="N15" s="5">
        <v>4382209</v>
      </c>
      <c r="O15" s="5">
        <v>3326904</v>
      </c>
      <c r="P15" s="5">
        <v>3073006</v>
      </c>
      <c r="Q15" s="5">
        <v>3488984</v>
      </c>
      <c r="R15" s="5">
        <v>4591639</v>
      </c>
      <c r="S15" s="5">
        <v>4896239</v>
      </c>
      <c r="T15" s="5">
        <v>7230906</v>
      </c>
      <c r="U15" s="5">
        <v>9492665</v>
      </c>
      <c r="V15" s="5">
        <v>11896021</v>
      </c>
      <c r="W15" s="1"/>
      <c r="X15" s="1"/>
      <c r="Y15" s="1"/>
    </row>
    <row r="16" spans="1:25" ht="13.5" customHeight="1" x14ac:dyDescent="0.2">
      <c r="A16" s="1" t="s">
        <v>146</v>
      </c>
      <c r="B16" s="5"/>
      <c r="C16" s="5"/>
      <c r="D16" s="5"/>
      <c r="E16" s="5"/>
      <c r="F16" s="5"/>
      <c r="G16" s="5"/>
      <c r="H16" s="5"/>
      <c r="I16" s="5"/>
      <c r="J16" s="5"/>
      <c r="K16" s="5"/>
      <c r="L16" s="5"/>
      <c r="M16" s="23"/>
      <c r="N16" s="23"/>
      <c r="O16" s="23"/>
      <c r="P16" s="23"/>
      <c r="Q16" s="24">
        <v>1055214</v>
      </c>
      <c r="R16" s="5">
        <v>1076155</v>
      </c>
      <c r="S16" s="5">
        <v>1063819</v>
      </c>
      <c r="T16" s="5">
        <v>2186522</v>
      </c>
      <c r="U16" s="5">
        <v>1180153</v>
      </c>
      <c r="V16" s="5">
        <v>1342010</v>
      </c>
      <c r="W16" s="1"/>
      <c r="X16" s="1"/>
      <c r="Y16" s="1"/>
    </row>
    <row r="17" spans="1:25" ht="13.5" customHeight="1" x14ac:dyDescent="0.2">
      <c r="A17" s="1" t="s">
        <v>149</v>
      </c>
      <c r="B17" s="5"/>
      <c r="C17" s="5"/>
      <c r="D17" s="5"/>
      <c r="E17" s="5"/>
      <c r="F17" s="5"/>
      <c r="G17" s="5"/>
      <c r="H17" s="5"/>
      <c r="I17" s="5"/>
      <c r="J17" s="5"/>
      <c r="K17" s="5"/>
      <c r="L17" s="5"/>
      <c r="M17" s="20"/>
      <c r="N17" s="20"/>
      <c r="O17" s="20"/>
      <c r="P17" s="20"/>
      <c r="Q17" s="20"/>
      <c r="R17" s="5">
        <v>977395</v>
      </c>
      <c r="S17" s="5">
        <v>990203</v>
      </c>
      <c r="T17" s="5">
        <v>1092772</v>
      </c>
      <c r="U17" s="5">
        <v>1011538</v>
      </c>
      <c r="V17" s="5">
        <v>160952</v>
      </c>
      <c r="W17" s="1"/>
      <c r="X17" s="1"/>
      <c r="Y17" s="1"/>
    </row>
    <row r="18" spans="1:25" ht="13.5" customHeight="1" x14ac:dyDescent="0.2">
      <c r="A18" s="1" t="s">
        <v>160</v>
      </c>
      <c r="B18" s="5"/>
      <c r="C18" s="5"/>
      <c r="D18" s="5"/>
      <c r="E18" s="5"/>
      <c r="F18" s="5"/>
      <c r="G18" s="5"/>
      <c r="H18" s="5"/>
      <c r="I18" s="5"/>
      <c r="J18" s="5"/>
      <c r="K18" s="5"/>
      <c r="L18" s="5"/>
      <c r="M18" s="20"/>
      <c r="N18" s="20"/>
      <c r="O18" s="20"/>
      <c r="P18" s="20"/>
      <c r="Q18" s="20"/>
      <c r="R18" s="5"/>
      <c r="S18" s="5"/>
      <c r="T18" s="5">
        <v>136091</v>
      </c>
      <c r="U18" s="5">
        <v>0</v>
      </c>
      <c r="V18" s="5">
        <v>0</v>
      </c>
      <c r="W18" s="1"/>
      <c r="X18" s="1"/>
      <c r="Y18" s="1"/>
    </row>
    <row r="19" spans="1:25" ht="13.5" customHeight="1" x14ac:dyDescent="0.2">
      <c r="A19" s="1" t="s">
        <v>150</v>
      </c>
      <c r="B19" s="5"/>
      <c r="C19" s="5"/>
      <c r="D19" s="5"/>
      <c r="E19" s="5"/>
      <c r="F19" s="5"/>
      <c r="G19" s="5"/>
      <c r="H19" s="5"/>
      <c r="I19" s="5"/>
      <c r="J19" s="5"/>
      <c r="K19" s="5"/>
      <c r="L19" s="5"/>
      <c r="M19" s="20"/>
      <c r="N19" s="20"/>
      <c r="O19" s="20"/>
      <c r="P19" s="20"/>
      <c r="Q19" s="20"/>
      <c r="R19" s="5">
        <v>746514</v>
      </c>
      <c r="S19" s="5">
        <v>783398</v>
      </c>
      <c r="T19" s="5">
        <v>1777174</v>
      </c>
      <c r="U19" s="5">
        <v>1348139</v>
      </c>
      <c r="V19" s="5">
        <v>1250365</v>
      </c>
      <c r="W19" s="1"/>
      <c r="X19" s="1"/>
      <c r="Y19" s="1"/>
    </row>
    <row r="20" spans="1:25" ht="13.5" customHeight="1" x14ac:dyDescent="0.2">
      <c r="A20" s="1" t="s">
        <v>157</v>
      </c>
      <c r="B20" s="5"/>
      <c r="C20" s="5"/>
      <c r="D20" s="5"/>
      <c r="E20" s="5"/>
      <c r="F20" s="5"/>
      <c r="G20" s="5"/>
      <c r="H20" s="5"/>
      <c r="I20" s="5"/>
      <c r="J20" s="5"/>
      <c r="K20" s="5"/>
      <c r="L20" s="5"/>
      <c r="M20" s="19"/>
      <c r="N20" s="19"/>
      <c r="O20" s="19"/>
      <c r="P20" s="19"/>
      <c r="Q20" s="19"/>
      <c r="R20" s="5"/>
      <c r="S20" s="5"/>
      <c r="T20" s="5">
        <v>61267</v>
      </c>
      <c r="U20" s="5">
        <v>46901</v>
      </c>
      <c r="V20" s="5">
        <v>0</v>
      </c>
      <c r="W20" s="1"/>
      <c r="X20" s="1"/>
      <c r="Y20" s="1"/>
    </row>
    <row r="21" spans="1:25" ht="13.5" customHeight="1" x14ac:dyDescent="0.2">
      <c r="A21" s="1" t="s">
        <v>41</v>
      </c>
      <c r="B21" s="5"/>
      <c r="C21" s="5"/>
      <c r="D21" s="5"/>
      <c r="E21" s="5"/>
      <c r="F21" s="5"/>
      <c r="G21" s="5"/>
      <c r="H21" s="5"/>
      <c r="I21" s="5"/>
      <c r="J21" s="5"/>
      <c r="K21" s="5"/>
      <c r="L21" s="5"/>
      <c r="M21" s="21"/>
      <c r="N21" s="24">
        <v>2825762</v>
      </c>
      <c r="O21" s="24">
        <v>2106033</v>
      </c>
      <c r="P21" s="24">
        <v>2412625</v>
      </c>
      <c r="Q21" s="24">
        <v>2436563</v>
      </c>
      <c r="R21" s="5">
        <v>3248635</v>
      </c>
      <c r="S21" s="5">
        <v>3495587</v>
      </c>
      <c r="T21" s="5">
        <v>5605642</v>
      </c>
      <c r="U21" s="5">
        <v>3911191</v>
      </c>
      <c r="V21" s="5">
        <v>3355979</v>
      </c>
      <c r="W21" s="1"/>
      <c r="X21" s="1"/>
      <c r="Y21" s="1"/>
    </row>
    <row r="22" spans="1:25" ht="13.5" customHeight="1" x14ac:dyDescent="0.2">
      <c r="A22" s="1" t="s">
        <v>42</v>
      </c>
      <c r="B22" s="5">
        <v>99049000</v>
      </c>
      <c r="C22" s="5">
        <v>75697000</v>
      </c>
      <c r="D22" s="5">
        <v>57132000</v>
      </c>
      <c r="E22" s="5">
        <v>55772000</v>
      </c>
      <c r="F22" s="5">
        <v>53169000</v>
      </c>
      <c r="G22" s="5">
        <v>42909000</v>
      </c>
      <c r="H22" s="5">
        <v>36921195</v>
      </c>
      <c r="I22" s="5">
        <v>31264486</v>
      </c>
      <c r="J22" s="5">
        <v>31274229</v>
      </c>
      <c r="K22" s="5">
        <v>31309073</v>
      </c>
      <c r="L22" s="5">
        <v>21693505</v>
      </c>
      <c r="M22" s="5">
        <v>23458494</v>
      </c>
      <c r="N22" s="5">
        <v>27134685</v>
      </c>
      <c r="O22" s="5">
        <v>30527923</v>
      </c>
      <c r="P22" s="5">
        <v>34544366</v>
      </c>
      <c r="Q22" s="5">
        <v>35200769</v>
      </c>
      <c r="R22" s="5">
        <v>36269649</v>
      </c>
      <c r="S22" s="5">
        <v>32446835</v>
      </c>
      <c r="T22" s="5">
        <v>31102294</v>
      </c>
      <c r="U22" s="5">
        <v>24112712</v>
      </c>
      <c r="V22" s="5">
        <v>21165888</v>
      </c>
      <c r="W22" s="1"/>
      <c r="X22" s="1"/>
      <c r="Y22" s="1"/>
    </row>
    <row r="23" spans="1:25" ht="13.5" customHeight="1" x14ac:dyDescent="0.2">
      <c r="A23" s="1" t="s">
        <v>158</v>
      </c>
      <c r="B23" s="5"/>
      <c r="C23" s="5"/>
      <c r="D23" s="5"/>
      <c r="E23" s="5"/>
      <c r="F23" s="5"/>
      <c r="G23" s="5"/>
      <c r="H23" s="5"/>
      <c r="I23" s="5"/>
      <c r="J23" s="5"/>
      <c r="K23" s="5"/>
      <c r="L23" s="5"/>
      <c r="M23" s="5"/>
      <c r="N23" s="5"/>
      <c r="O23" s="5"/>
      <c r="P23" s="5"/>
      <c r="Q23" s="5"/>
      <c r="R23" s="5"/>
      <c r="S23" s="5"/>
      <c r="T23" s="5">
        <v>107129</v>
      </c>
      <c r="U23" s="5">
        <v>48264</v>
      </c>
      <c r="V23" s="5">
        <v>55595</v>
      </c>
      <c r="W23" s="1"/>
      <c r="X23" s="1"/>
      <c r="Y23" s="1"/>
    </row>
    <row r="24" spans="1:25" ht="13.5" customHeight="1" x14ac:dyDescent="0.2">
      <c r="A24" s="1" t="s">
        <v>43</v>
      </c>
      <c r="B24" s="5"/>
      <c r="C24" s="5"/>
      <c r="D24" s="5"/>
      <c r="E24" s="5"/>
      <c r="F24" s="5"/>
      <c r="G24" s="5"/>
      <c r="H24" s="5"/>
      <c r="I24" s="5"/>
      <c r="J24" s="5"/>
      <c r="K24" s="5"/>
      <c r="L24" s="5"/>
      <c r="M24" s="21"/>
      <c r="N24" s="5">
        <v>2664037</v>
      </c>
      <c r="O24" s="5">
        <v>1762444</v>
      </c>
      <c r="P24" s="5">
        <v>1512745</v>
      </c>
      <c r="Q24" s="5">
        <v>1472615</v>
      </c>
      <c r="R24" s="5">
        <v>1687410</v>
      </c>
      <c r="S24" s="5">
        <v>2634407</v>
      </c>
      <c r="T24" s="5">
        <v>5838436</v>
      </c>
      <c r="U24" s="5">
        <v>4462864</v>
      </c>
      <c r="V24" s="5">
        <v>3532628</v>
      </c>
      <c r="W24" s="1"/>
      <c r="X24" s="1"/>
      <c r="Y24" s="1"/>
    </row>
    <row r="25" spans="1:25" ht="13.5" customHeight="1" x14ac:dyDescent="0.2">
      <c r="A25" s="1" t="s">
        <v>44</v>
      </c>
      <c r="B25" s="5">
        <v>24981000</v>
      </c>
      <c r="C25" s="5">
        <v>18752000</v>
      </c>
      <c r="D25" s="5">
        <v>13796000</v>
      </c>
      <c r="E25" s="5">
        <v>14172000</v>
      </c>
      <c r="F25" s="5">
        <v>14732000</v>
      </c>
      <c r="G25" s="5">
        <v>12606000</v>
      </c>
      <c r="H25" s="5">
        <v>11327702</v>
      </c>
      <c r="I25" s="5">
        <v>8462014</v>
      </c>
      <c r="J25" s="5">
        <v>13059982</v>
      </c>
      <c r="K25" s="5">
        <v>8772882</v>
      </c>
      <c r="L25" s="5">
        <v>6707675</v>
      </c>
      <c r="M25" s="5">
        <v>6333057</v>
      </c>
      <c r="N25" s="5">
        <v>5755790</v>
      </c>
      <c r="O25" s="5">
        <v>7556153</v>
      </c>
      <c r="P25" s="5">
        <v>7637330</v>
      </c>
      <c r="Q25" s="5">
        <v>7177871</v>
      </c>
      <c r="R25" s="5">
        <v>7011099</v>
      </c>
      <c r="S25" s="5">
        <v>6464495</v>
      </c>
      <c r="T25" s="5">
        <v>7512259</v>
      </c>
      <c r="U25" s="5">
        <v>5638718</v>
      </c>
      <c r="V25" s="5">
        <v>4043461</v>
      </c>
      <c r="W25" s="1"/>
      <c r="X25" s="1"/>
      <c r="Y25" s="1"/>
    </row>
    <row r="26" spans="1:25" ht="13.5" customHeight="1" x14ac:dyDescent="0.2">
      <c r="A26" s="1" t="s">
        <v>45</v>
      </c>
      <c r="B26" s="5"/>
      <c r="C26" s="5"/>
      <c r="D26" s="5"/>
      <c r="E26" s="5"/>
      <c r="F26" s="5"/>
      <c r="G26" s="5"/>
      <c r="H26" s="5"/>
      <c r="I26" s="5"/>
      <c r="J26" s="5"/>
      <c r="K26" s="5"/>
      <c r="L26" s="5"/>
      <c r="M26" s="21"/>
      <c r="N26" s="5">
        <v>2416019</v>
      </c>
      <c r="O26" s="5">
        <v>2063411</v>
      </c>
      <c r="P26" s="5">
        <v>2599686</v>
      </c>
      <c r="Q26" s="5">
        <v>2466956</v>
      </c>
      <c r="R26" s="5">
        <v>2767576</v>
      </c>
      <c r="S26" s="5">
        <v>2954957</v>
      </c>
      <c r="T26" s="5">
        <v>3686677</v>
      </c>
      <c r="U26" s="5">
        <v>3239109</v>
      </c>
      <c r="V26" s="5">
        <v>2504488</v>
      </c>
      <c r="W26" s="1"/>
      <c r="X26" s="1"/>
      <c r="Y26" s="1"/>
    </row>
    <row r="27" spans="1:25" ht="13.5" customHeight="1" x14ac:dyDescent="0.2">
      <c r="A27" s="1" t="s">
        <v>86</v>
      </c>
      <c r="B27" s="5">
        <v>62557000</v>
      </c>
      <c r="C27" s="5">
        <v>38350000</v>
      </c>
      <c r="D27" s="5">
        <v>26652000</v>
      </c>
      <c r="E27" s="5">
        <v>25574000</v>
      </c>
      <c r="F27" s="5">
        <v>26546000</v>
      </c>
      <c r="G27" s="5">
        <v>24162000</v>
      </c>
      <c r="H27" s="5">
        <v>25211496</v>
      </c>
      <c r="I27" s="5">
        <v>40139495</v>
      </c>
      <c r="J27" s="5">
        <v>30618661</v>
      </c>
      <c r="K27" s="5">
        <v>25451717</v>
      </c>
      <c r="L27" s="5">
        <v>26321570</v>
      </c>
      <c r="M27" s="24">
        <v>2144909</v>
      </c>
      <c r="N27" s="5">
        <v>0</v>
      </c>
      <c r="O27" s="5">
        <v>0</v>
      </c>
      <c r="P27" s="5">
        <v>0</v>
      </c>
      <c r="Q27" s="5">
        <v>0</v>
      </c>
      <c r="R27" s="5">
        <v>0</v>
      </c>
      <c r="S27" s="5">
        <v>0</v>
      </c>
      <c r="T27" s="5">
        <v>0</v>
      </c>
      <c r="U27" s="5">
        <v>0</v>
      </c>
      <c r="V27" s="5">
        <v>0</v>
      </c>
      <c r="W27" s="1"/>
      <c r="X27" s="1"/>
      <c r="Y27" s="1"/>
    </row>
    <row r="28" spans="1:25" ht="13.5" customHeight="1" x14ac:dyDescent="0.2">
      <c r="A28" s="1" t="s">
        <v>46</v>
      </c>
      <c r="B28" s="5"/>
      <c r="C28" s="5"/>
      <c r="D28" s="5">
        <v>5753000</v>
      </c>
      <c r="E28" s="5">
        <v>5849000</v>
      </c>
      <c r="F28" s="5">
        <v>6227000</v>
      </c>
      <c r="G28" s="5">
        <v>6306000</v>
      </c>
      <c r="H28" s="5">
        <v>5706769</v>
      </c>
      <c r="I28" s="5">
        <v>4821900</v>
      </c>
      <c r="J28" s="5">
        <v>5114937</v>
      </c>
      <c r="K28" s="5">
        <v>5403089</v>
      </c>
      <c r="L28" s="5">
        <v>4191295</v>
      </c>
      <c r="M28" s="5">
        <v>4267550</v>
      </c>
      <c r="N28" s="5">
        <v>5015185</v>
      </c>
      <c r="O28" s="5">
        <v>5789337</v>
      </c>
      <c r="P28" s="5">
        <v>6121746</v>
      </c>
      <c r="Q28" s="5">
        <v>6734698</v>
      </c>
      <c r="R28" s="5">
        <v>7740671</v>
      </c>
      <c r="S28" s="5">
        <v>7038474</v>
      </c>
      <c r="T28" s="5">
        <v>9101185</v>
      </c>
      <c r="U28" s="5">
        <v>7577229</v>
      </c>
      <c r="V28" s="5">
        <v>6846847</v>
      </c>
      <c r="W28" s="1"/>
      <c r="X28" s="1"/>
      <c r="Y28" s="1"/>
    </row>
    <row r="29" spans="1:25" ht="13.5" customHeight="1" x14ac:dyDescent="0.2">
      <c r="A29" s="1" t="s">
        <v>47</v>
      </c>
      <c r="B29" s="5"/>
      <c r="C29" s="5"/>
      <c r="D29" s="5"/>
      <c r="E29" s="5"/>
      <c r="F29" s="5"/>
      <c r="G29" s="5"/>
      <c r="H29" s="5"/>
      <c r="I29" s="5"/>
      <c r="J29" s="5"/>
      <c r="K29" s="5"/>
      <c r="L29" s="5"/>
      <c r="M29" s="21"/>
      <c r="N29" s="5">
        <v>2239908</v>
      </c>
      <c r="O29" s="5">
        <v>2077603</v>
      </c>
      <c r="P29" s="5">
        <v>2029885</v>
      </c>
      <c r="Q29" s="5">
        <v>2132330</v>
      </c>
      <c r="R29" s="5">
        <v>2246142</v>
      </c>
      <c r="S29" s="5">
        <v>1864216</v>
      </c>
      <c r="T29" s="5">
        <v>2025557</v>
      </c>
      <c r="U29" s="5">
        <v>1638306</v>
      </c>
      <c r="V29" s="5">
        <v>1314724</v>
      </c>
      <c r="W29" s="1"/>
      <c r="X29" s="1"/>
      <c r="Y29" s="1"/>
    </row>
    <row r="30" spans="1:25" ht="13.5" customHeight="1" x14ac:dyDescent="0.2">
      <c r="A30" s="1" t="s">
        <v>159</v>
      </c>
      <c r="B30" s="5"/>
      <c r="C30" s="5"/>
      <c r="D30" s="5"/>
      <c r="E30" s="5"/>
      <c r="F30" s="5"/>
      <c r="G30" s="5"/>
      <c r="H30" s="5"/>
      <c r="I30" s="5"/>
      <c r="J30" s="5"/>
      <c r="K30" s="5"/>
      <c r="L30" s="5"/>
      <c r="M30" s="22"/>
      <c r="N30" s="5"/>
      <c r="O30" s="5"/>
      <c r="P30" s="5"/>
      <c r="Q30" s="5"/>
      <c r="R30" s="5"/>
      <c r="S30" s="5"/>
      <c r="T30" s="5">
        <v>-493</v>
      </c>
      <c r="U30" s="5">
        <v>10776</v>
      </c>
      <c r="V30" s="5">
        <v>28306</v>
      </c>
      <c r="W30" s="1"/>
      <c r="X30" s="1"/>
      <c r="Y30" s="1"/>
    </row>
    <row r="31" spans="1:25" ht="13.5" customHeight="1" x14ac:dyDescent="0.2">
      <c r="A31" s="1" t="s">
        <v>140</v>
      </c>
      <c r="B31" s="5">
        <v>53197000</v>
      </c>
      <c r="C31" s="5">
        <v>49410000</v>
      </c>
      <c r="D31" s="5">
        <v>26496000</v>
      </c>
      <c r="E31" s="5">
        <v>23489000</v>
      </c>
      <c r="F31" s="5">
        <v>26923000</v>
      </c>
      <c r="G31" s="5">
        <v>25321000</v>
      </c>
      <c r="H31" s="5">
        <v>21175592</v>
      </c>
      <c r="I31" s="5">
        <v>17368821</v>
      </c>
      <c r="J31" s="5">
        <v>26030803</v>
      </c>
      <c r="K31" s="5">
        <v>25418395</v>
      </c>
      <c r="L31" s="5">
        <v>18431055</v>
      </c>
      <c r="M31" s="5">
        <v>18066169</v>
      </c>
      <c r="N31" s="5">
        <v>3732218</v>
      </c>
      <c r="O31" s="5">
        <v>3462391</v>
      </c>
      <c r="P31" s="5">
        <v>4889828</v>
      </c>
      <c r="Q31" s="5">
        <v>3508892</v>
      </c>
      <c r="R31" s="5">
        <v>726717</v>
      </c>
      <c r="S31" s="5">
        <v>726272</v>
      </c>
      <c r="T31" s="5">
        <v>0</v>
      </c>
      <c r="U31" s="5">
        <v>0</v>
      </c>
      <c r="V31" s="5">
        <v>0</v>
      </c>
      <c r="W31" s="1"/>
      <c r="X31" s="1"/>
      <c r="Y31" s="1"/>
    </row>
    <row r="32" spans="1:25" ht="13.5" customHeight="1" x14ac:dyDescent="0.2">
      <c r="A32" s="2" t="s">
        <v>141</v>
      </c>
      <c r="B32" s="6">
        <f t="shared" ref="B32:H32" si="0">SUM(B4:B31)</f>
        <v>274403000</v>
      </c>
      <c r="C32" s="6">
        <f t="shared" si="0"/>
        <v>205711000</v>
      </c>
      <c r="D32" s="6">
        <f t="shared" si="0"/>
        <v>146251000</v>
      </c>
      <c r="E32" s="6">
        <f t="shared" si="0"/>
        <v>138448000</v>
      </c>
      <c r="F32" s="6">
        <f t="shared" si="0"/>
        <v>140763000</v>
      </c>
      <c r="G32" s="6">
        <f t="shared" si="0"/>
        <v>122646000</v>
      </c>
      <c r="H32" s="6">
        <f t="shared" si="0"/>
        <v>112656750</v>
      </c>
      <c r="I32" s="6">
        <f>SUM(I4:I31)</f>
        <v>110065581</v>
      </c>
      <c r="J32" s="6">
        <f>SUM(J4:J31)</f>
        <v>114091457</v>
      </c>
      <c r="K32" s="6">
        <f>SUM(K4:K31)</f>
        <v>102548126</v>
      </c>
      <c r="L32" s="6">
        <f>SUM(L4:L31)</f>
        <v>81689296</v>
      </c>
      <c r="M32" s="6">
        <f t="shared" ref="M32:V32" si="1">SUM(M4:M31)</f>
        <v>61631164</v>
      </c>
      <c r="N32" s="6">
        <f t="shared" si="1"/>
        <v>62239124</v>
      </c>
      <c r="O32" s="6">
        <f t="shared" si="1"/>
        <v>63770383</v>
      </c>
      <c r="P32" s="6">
        <f t="shared" si="1"/>
        <v>70205350</v>
      </c>
      <c r="Q32" s="6">
        <f t="shared" si="1"/>
        <v>70615891</v>
      </c>
      <c r="R32" s="6">
        <f t="shared" si="1"/>
        <v>76817423</v>
      </c>
      <c r="S32" s="6">
        <f t="shared" si="1"/>
        <v>72063833</v>
      </c>
      <c r="T32" s="6">
        <f t="shared" si="1"/>
        <v>84359310</v>
      </c>
      <c r="U32" s="6">
        <f t="shared" si="1"/>
        <v>67626272</v>
      </c>
      <c r="V32" s="6">
        <f t="shared" si="1"/>
        <v>59119379</v>
      </c>
      <c r="W32" s="1"/>
      <c r="X32" s="1"/>
      <c r="Y32" s="1"/>
    </row>
    <row r="33" spans="1:25" ht="13.5" customHeight="1" x14ac:dyDescent="0.2">
      <c r="A33" s="1" t="s">
        <v>142</v>
      </c>
      <c r="B33" s="5">
        <v>0</v>
      </c>
      <c r="C33" s="5">
        <v>3000</v>
      </c>
      <c r="D33" s="5">
        <v>2000</v>
      </c>
      <c r="E33" s="5">
        <v>4000</v>
      </c>
      <c r="F33" s="5">
        <v>3000</v>
      </c>
      <c r="G33" s="5">
        <v>17000</v>
      </c>
      <c r="H33" s="5">
        <v>33603</v>
      </c>
      <c r="I33" s="5">
        <v>37992</v>
      </c>
      <c r="J33" s="5">
        <v>6291</v>
      </c>
      <c r="K33" s="5">
        <v>15659</v>
      </c>
      <c r="L33" s="5">
        <v>17147</v>
      </c>
      <c r="M33" s="5">
        <v>33184</v>
      </c>
      <c r="N33" s="5">
        <v>11650</v>
      </c>
      <c r="O33" s="5">
        <v>166893</v>
      </c>
      <c r="P33" s="5">
        <v>42816</v>
      </c>
      <c r="Q33" s="5">
        <v>22158</v>
      </c>
      <c r="R33" s="5">
        <v>20976</v>
      </c>
      <c r="S33" s="5">
        <v>5963</v>
      </c>
      <c r="T33" s="5">
        <v>6231</v>
      </c>
      <c r="U33" s="5">
        <v>20740</v>
      </c>
      <c r="V33" s="5">
        <v>21394</v>
      </c>
      <c r="W33" s="1"/>
      <c r="X33" s="1"/>
      <c r="Y33" s="1"/>
    </row>
    <row r="34" spans="1:25" ht="13.5" customHeight="1" x14ac:dyDescent="0.2">
      <c r="A34" s="1" t="s">
        <v>143</v>
      </c>
      <c r="B34" s="5">
        <v>-518000</v>
      </c>
      <c r="C34" s="5">
        <v>-296000</v>
      </c>
      <c r="D34" s="5">
        <v>-411000</v>
      </c>
      <c r="E34" s="5">
        <v>-327000</v>
      </c>
      <c r="F34" s="5">
        <v>-264000</v>
      </c>
      <c r="G34" s="5">
        <v>-141000</v>
      </c>
      <c r="H34" s="5">
        <v>-214667</v>
      </c>
      <c r="I34" s="5">
        <v>-140017</v>
      </c>
      <c r="J34" s="5">
        <v>-211482</v>
      </c>
      <c r="K34" s="5">
        <v>-232683</v>
      </c>
      <c r="L34" s="5">
        <v>-177110</v>
      </c>
      <c r="M34" s="5">
        <v>-201907</v>
      </c>
      <c r="N34" s="5">
        <v>-95523</v>
      </c>
      <c r="O34" s="5">
        <v>-275089</v>
      </c>
      <c r="P34" s="5">
        <v>-264177</v>
      </c>
      <c r="Q34" s="5">
        <v>-441582</v>
      </c>
      <c r="R34" s="5">
        <v>-316133</v>
      </c>
      <c r="S34" s="5">
        <v>-294639</v>
      </c>
      <c r="T34" s="5">
        <v>-438229</v>
      </c>
      <c r="U34" s="5">
        <v>-348395</v>
      </c>
      <c r="V34" s="5">
        <v>-340228</v>
      </c>
      <c r="W34" s="1"/>
      <c r="X34" s="1"/>
      <c r="Y34" s="1"/>
    </row>
    <row r="35" spans="1:25" ht="13.5" customHeight="1" thickBot="1" x14ac:dyDescent="0.25">
      <c r="A35" s="2" t="s">
        <v>144</v>
      </c>
      <c r="B35" s="35">
        <f t="shared" ref="B35:I35" si="2">SUM(B32:B34)</f>
        <v>273885000</v>
      </c>
      <c r="C35" s="35">
        <f t="shared" si="2"/>
        <v>205418000</v>
      </c>
      <c r="D35" s="35">
        <f t="shared" si="2"/>
        <v>145842000</v>
      </c>
      <c r="E35" s="35">
        <f t="shared" si="2"/>
        <v>138125000</v>
      </c>
      <c r="F35" s="35">
        <f t="shared" si="2"/>
        <v>140502000</v>
      </c>
      <c r="G35" s="35">
        <f t="shared" si="2"/>
        <v>122522000</v>
      </c>
      <c r="H35" s="35">
        <f t="shared" si="2"/>
        <v>112475686</v>
      </c>
      <c r="I35" s="35">
        <f t="shared" si="2"/>
        <v>109963556</v>
      </c>
      <c r="J35" s="35">
        <f>SUM(J32:J34)</f>
        <v>113886266</v>
      </c>
      <c r="K35" s="35">
        <f>SUM(K32:K34)</f>
        <v>102331102</v>
      </c>
      <c r="L35" s="35">
        <f>SUM(L32:L34)</f>
        <v>81529333</v>
      </c>
      <c r="M35" s="54">
        <f t="shared" ref="M35:V35" si="3">SUM(M32:M34)</f>
        <v>61462441</v>
      </c>
      <c r="N35" s="54">
        <f t="shared" si="3"/>
        <v>62155251</v>
      </c>
      <c r="O35" s="35">
        <f t="shared" si="3"/>
        <v>63662187</v>
      </c>
      <c r="P35" s="35">
        <f t="shared" si="3"/>
        <v>69983989</v>
      </c>
      <c r="Q35" s="35">
        <f t="shared" si="3"/>
        <v>70196467</v>
      </c>
      <c r="R35" s="35">
        <f t="shared" si="3"/>
        <v>76522266</v>
      </c>
      <c r="S35" s="35">
        <f t="shared" si="3"/>
        <v>71775157</v>
      </c>
      <c r="T35" s="35">
        <f t="shared" si="3"/>
        <v>83927312</v>
      </c>
      <c r="U35" s="35">
        <f t="shared" si="3"/>
        <v>67298617</v>
      </c>
      <c r="V35" s="35">
        <f t="shared" si="3"/>
        <v>58800545</v>
      </c>
      <c r="W35" s="1"/>
      <c r="X35" s="1"/>
      <c r="Y35" s="1"/>
    </row>
    <row r="36" spans="1:25" ht="13.5" customHeight="1" thickTop="1" x14ac:dyDescent="0.2">
      <c r="A36" s="1"/>
      <c r="B36" s="5"/>
      <c r="C36" s="5"/>
      <c r="D36" s="5"/>
      <c r="E36" s="5"/>
      <c r="F36" s="5"/>
      <c r="G36" s="5"/>
      <c r="H36" s="5"/>
      <c r="I36" s="5"/>
      <c r="J36" s="5"/>
      <c r="K36" s="5"/>
      <c r="L36" s="5"/>
      <c r="M36" s="5"/>
      <c r="N36" s="5"/>
      <c r="O36" s="5"/>
      <c r="P36" s="5"/>
      <c r="Q36" s="5"/>
      <c r="R36" s="5"/>
      <c r="S36" s="5"/>
      <c r="T36" s="5"/>
      <c r="U36" s="5"/>
      <c r="V36" s="5"/>
    </row>
    <row r="37" spans="1:25" ht="13.5" customHeight="1" x14ac:dyDescent="0.2">
      <c r="A37" s="1"/>
      <c r="B37" s="5"/>
      <c r="C37" s="5"/>
      <c r="D37" s="5"/>
      <c r="E37" s="5"/>
      <c r="F37" s="5"/>
      <c r="G37" s="5"/>
      <c r="H37" s="5"/>
      <c r="I37" s="5"/>
      <c r="J37" s="5"/>
      <c r="K37" s="5"/>
      <c r="L37" s="5"/>
      <c r="M37" s="5"/>
      <c r="N37" s="5"/>
      <c r="O37" s="5"/>
      <c r="P37" s="5"/>
      <c r="Q37" s="5"/>
      <c r="R37" s="5"/>
      <c r="S37" s="5"/>
      <c r="T37" s="5"/>
      <c r="U37" s="5"/>
      <c r="V37" s="5"/>
    </row>
    <row r="38" spans="1:25" ht="13.5" customHeight="1" x14ac:dyDescent="0.2">
      <c r="A38" s="1"/>
      <c r="B38" s="5"/>
      <c r="C38" s="5"/>
      <c r="D38" s="5"/>
      <c r="E38" s="5"/>
      <c r="F38" s="5"/>
      <c r="G38" s="5"/>
      <c r="H38" s="5"/>
      <c r="I38" s="5"/>
      <c r="J38" s="5"/>
      <c r="K38" s="5"/>
      <c r="L38" s="5"/>
      <c r="M38" s="5"/>
      <c r="N38" s="5"/>
      <c r="O38" s="5"/>
      <c r="P38" s="5"/>
      <c r="Q38" s="5"/>
      <c r="R38" s="5"/>
      <c r="S38" s="5"/>
      <c r="T38" s="5"/>
      <c r="U38" s="5"/>
      <c r="V38" s="5"/>
    </row>
    <row r="39" spans="1:25" ht="13.5" customHeight="1" x14ac:dyDescent="0.2">
      <c r="A39" s="1"/>
      <c r="B39" s="5"/>
      <c r="C39" s="5"/>
      <c r="D39" s="5"/>
      <c r="E39" s="5"/>
      <c r="F39" s="5"/>
      <c r="G39" s="5"/>
      <c r="H39" s="5"/>
      <c r="I39" s="5"/>
      <c r="J39" s="5"/>
      <c r="K39" s="5"/>
      <c r="L39" s="5"/>
      <c r="M39" s="5"/>
      <c r="N39" s="5"/>
      <c r="O39" s="5"/>
      <c r="P39" s="5"/>
      <c r="Q39" s="5"/>
      <c r="R39" s="5"/>
      <c r="S39" s="5"/>
      <c r="T39" s="5"/>
      <c r="U39" s="5"/>
      <c r="V39" s="5"/>
    </row>
    <row r="40" spans="1:25" ht="13.5" customHeight="1" x14ac:dyDescent="0.2">
      <c r="A40" s="1"/>
      <c r="B40" s="5"/>
      <c r="C40" s="5"/>
      <c r="D40" s="5"/>
      <c r="E40" s="5"/>
      <c r="F40" s="5"/>
      <c r="G40" s="5"/>
      <c r="H40" s="5"/>
      <c r="I40" s="5"/>
      <c r="J40" s="5"/>
      <c r="K40" s="5"/>
      <c r="L40" s="5"/>
      <c r="M40" s="5"/>
      <c r="N40" s="5"/>
      <c r="O40" s="5"/>
      <c r="P40" s="5"/>
      <c r="Q40" s="5"/>
      <c r="R40" s="5"/>
      <c r="S40" s="5"/>
      <c r="T40" s="5"/>
      <c r="U40" s="5"/>
      <c r="V40" s="5"/>
    </row>
    <row r="41" spans="1:25" ht="13.5" customHeight="1" x14ac:dyDescent="0.2">
      <c r="A41" s="1"/>
      <c r="B41" s="5"/>
      <c r="C41" s="5"/>
      <c r="D41" s="5"/>
      <c r="E41" s="5"/>
      <c r="F41" s="5"/>
      <c r="G41" s="5"/>
      <c r="H41" s="5"/>
      <c r="I41" s="5"/>
      <c r="J41" s="5"/>
      <c r="K41" s="5"/>
      <c r="L41" s="5"/>
      <c r="M41" s="5"/>
      <c r="N41" s="5"/>
      <c r="O41" s="5"/>
      <c r="P41" s="5"/>
      <c r="Q41" s="5"/>
      <c r="R41" s="5"/>
      <c r="S41" s="5"/>
      <c r="T41" s="5"/>
      <c r="U41" s="5"/>
      <c r="V41" s="5"/>
    </row>
    <row r="42" spans="1:25" ht="13.5" customHeight="1" x14ac:dyDescent="0.2">
      <c r="A42" s="1"/>
      <c r="B42" s="5"/>
      <c r="C42" s="5"/>
      <c r="D42" s="5"/>
      <c r="E42" s="5"/>
      <c r="F42" s="5"/>
      <c r="G42" s="5"/>
      <c r="H42" s="5"/>
      <c r="I42" s="5"/>
      <c r="J42" s="5"/>
      <c r="K42" s="5"/>
      <c r="L42" s="5"/>
      <c r="M42" s="5"/>
      <c r="N42" s="5"/>
      <c r="O42" s="5"/>
      <c r="P42" s="5"/>
      <c r="Q42" s="5"/>
      <c r="R42" s="5"/>
      <c r="S42" s="5"/>
      <c r="T42" s="5"/>
      <c r="U42" s="5"/>
      <c r="V42" s="5"/>
    </row>
    <row r="43" spans="1:25" ht="13.5" customHeight="1" x14ac:dyDescent="0.2">
      <c r="A43" s="1"/>
      <c r="B43" s="5"/>
      <c r="C43" s="5"/>
      <c r="D43" s="5"/>
      <c r="E43" s="5"/>
      <c r="F43" s="5"/>
      <c r="G43" s="5"/>
      <c r="H43" s="5"/>
      <c r="I43" s="5"/>
      <c r="J43" s="5"/>
      <c r="K43" s="5"/>
      <c r="L43" s="5"/>
      <c r="M43" s="5"/>
      <c r="N43" s="5"/>
      <c r="O43" s="5"/>
      <c r="P43" s="5"/>
      <c r="Q43" s="5"/>
      <c r="R43" s="5"/>
      <c r="S43" s="5"/>
      <c r="T43" s="5"/>
      <c r="U43" s="5"/>
      <c r="V43" s="5"/>
    </row>
    <row r="44" spans="1:25" ht="13.5" customHeight="1" x14ac:dyDescent="0.2">
      <c r="A44" s="1"/>
      <c r="B44" s="5"/>
      <c r="C44" s="5"/>
      <c r="D44" s="5"/>
      <c r="E44" s="5"/>
      <c r="F44" s="5"/>
      <c r="G44" s="5"/>
      <c r="H44" s="5"/>
      <c r="I44" s="5"/>
      <c r="J44" s="5"/>
      <c r="K44" s="5"/>
      <c r="L44" s="5"/>
      <c r="M44" s="5"/>
      <c r="N44" s="5"/>
      <c r="O44" s="5"/>
      <c r="P44" s="5"/>
      <c r="Q44" s="5"/>
      <c r="R44" s="5"/>
      <c r="S44" s="5"/>
      <c r="T44" s="5"/>
      <c r="U44" s="5"/>
      <c r="V44" s="5"/>
    </row>
    <row r="45" spans="1:25" ht="13.5" customHeight="1" x14ac:dyDescent="0.2">
      <c r="A45" s="1"/>
      <c r="B45" s="5"/>
      <c r="C45" s="5"/>
      <c r="D45" s="5"/>
      <c r="E45" s="5"/>
      <c r="F45" s="5"/>
      <c r="G45" s="5"/>
      <c r="H45" s="5"/>
      <c r="I45" s="5"/>
      <c r="J45" s="5"/>
      <c r="K45" s="5"/>
      <c r="L45" s="5"/>
      <c r="M45" s="5"/>
      <c r="N45" s="5"/>
      <c r="O45" s="5"/>
      <c r="P45" s="5"/>
      <c r="Q45" s="5"/>
      <c r="R45" s="5"/>
      <c r="S45" s="5"/>
      <c r="T45" s="5"/>
      <c r="U45" s="5"/>
      <c r="V45" s="5"/>
    </row>
    <row r="46" spans="1:25" ht="13.5" customHeight="1" x14ac:dyDescent="0.2">
      <c r="A46" s="1"/>
      <c r="B46" s="5"/>
      <c r="C46" s="5"/>
      <c r="D46" s="5"/>
      <c r="E46" s="5"/>
      <c r="F46" s="5"/>
      <c r="G46" s="5"/>
      <c r="H46" s="5"/>
      <c r="I46" s="5"/>
      <c r="J46" s="5"/>
      <c r="K46" s="5"/>
      <c r="L46" s="5"/>
      <c r="M46" s="5"/>
      <c r="N46" s="5"/>
      <c r="O46" s="5"/>
      <c r="P46" s="5"/>
      <c r="Q46" s="5"/>
      <c r="R46" s="5"/>
      <c r="S46" s="5"/>
      <c r="T46" s="5"/>
      <c r="U46" s="5"/>
      <c r="V46" s="5"/>
    </row>
    <row r="47" spans="1:25" ht="13.5" customHeight="1" x14ac:dyDescent="0.2">
      <c r="A47" s="1"/>
      <c r="B47" s="5"/>
      <c r="C47" s="5"/>
      <c r="D47" s="5"/>
      <c r="E47" s="5"/>
      <c r="F47" s="5"/>
      <c r="G47" s="5"/>
      <c r="H47" s="5"/>
      <c r="I47" s="5"/>
      <c r="J47" s="5"/>
      <c r="K47" s="5"/>
      <c r="L47" s="5"/>
      <c r="M47" s="5"/>
      <c r="N47" s="5"/>
      <c r="O47" s="5"/>
      <c r="P47" s="5"/>
      <c r="Q47" s="5"/>
      <c r="R47" s="5"/>
      <c r="S47" s="5"/>
      <c r="T47" s="5"/>
      <c r="U47" s="5"/>
      <c r="V47" s="5"/>
    </row>
    <row r="48" spans="1:25" ht="13.5" customHeight="1" x14ac:dyDescent="0.2">
      <c r="A48" s="1"/>
      <c r="B48" s="5"/>
      <c r="C48" s="5"/>
      <c r="D48" s="5"/>
      <c r="E48" s="5"/>
      <c r="F48" s="5"/>
      <c r="G48" s="5"/>
      <c r="H48" s="5"/>
      <c r="I48" s="5"/>
      <c r="J48" s="5"/>
      <c r="K48" s="5"/>
      <c r="L48" s="5"/>
      <c r="M48" s="5"/>
      <c r="N48" s="5"/>
      <c r="O48" s="5"/>
      <c r="P48" s="5"/>
      <c r="Q48" s="5"/>
      <c r="R48" s="5"/>
      <c r="S48" s="5"/>
      <c r="T48" s="5"/>
      <c r="U48" s="5"/>
      <c r="V48" s="5"/>
    </row>
    <row r="49" spans="1:22" ht="13.5" customHeight="1" x14ac:dyDescent="0.2">
      <c r="A49" s="1"/>
      <c r="B49" s="5"/>
      <c r="C49" s="5"/>
      <c r="D49" s="5"/>
      <c r="E49" s="5"/>
      <c r="F49" s="5"/>
      <c r="G49" s="5"/>
      <c r="H49" s="5"/>
      <c r="I49" s="5"/>
      <c r="J49" s="5"/>
      <c r="K49" s="5"/>
      <c r="L49" s="5"/>
      <c r="M49" s="5"/>
      <c r="N49" s="5"/>
      <c r="O49" s="5"/>
      <c r="P49" s="5"/>
      <c r="Q49" s="5"/>
      <c r="R49" s="5"/>
      <c r="S49" s="5"/>
      <c r="T49" s="5"/>
      <c r="U49" s="5"/>
      <c r="V49" s="5"/>
    </row>
    <row r="50" spans="1:22" ht="13.5" customHeight="1" x14ac:dyDescent="0.2">
      <c r="A50" s="1"/>
      <c r="B50" s="5"/>
      <c r="C50" s="5"/>
      <c r="D50" s="5"/>
      <c r="E50" s="5"/>
      <c r="F50" s="5"/>
      <c r="G50" s="5"/>
      <c r="H50" s="5"/>
      <c r="I50" s="5"/>
      <c r="J50" s="5"/>
      <c r="K50" s="5"/>
      <c r="L50" s="5"/>
      <c r="M50" s="5"/>
      <c r="N50" s="5"/>
      <c r="O50" s="5"/>
      <c r="P50" s="5"/>
      <c r="Q50" s="5"/>
      <c r="R50" s="5"/>
      <c r="S50" s="5"/>
      <c r="T50" s="5"/>
      <c r="U50" s="5"/>
      <c r="V50" s="5"/>
    </row>
    <row r="51" spans="1:22" ht="13.5" customHeight="1" x14ac:dyDescent="0.2">
      <c r="A51" s="1"/>
      <c r="B51" s="5"/>
      <c r="C51" s="5"/>
      <c r="D51" s="5"/>
      <c r="E51" s="5"/>
      <c r="F51" s="5"/>
      <c r="G51" s="5"/>
      <c r="H51" s="5"/>
      <c r="I51" s="5"/>
      <c r="J51" s="5"/>
      <c r="K51" s="5"/>
      <c r="L51" s="5"/>
      <c r="M51" s="5"/>
      <c r="N51" s="5"/>
      <c r="O51" s="5"/>
      <c r="P51" s="5"/>
      <c r="Q51" s="5"/>
      <c r="R51" s="5"/>
      <c r="S51" s="5"/>
      <c r="T51" s="5"/>
      <c r="U51" s="5"/>
      <c r="V51" s="5"/>
    </row>
    <row r="52" spans="1:22" ht="13.5" customHeight="1" x14ac:dyDescent="0.2">
      <c r="A52" s="1"/>
      <c r="B52" s="5"/>
      <c r="C52" s="5"/>
      <c r="D52" s="5"/>
      <c r="E52" s="5"/>
      <c r="F52" s="5"/>
      <c r="G52" s="5"/>
      <c r="H52" s="5"/>
      <c r="I52" s="5"/>
      <c r="J52" s="5"/>
      <c r="K52" s="5"/>
      <c r="L52" s="5"/>
      <c r="M52" s="5"/>
      <c r="N52" s="5"/>
      <c r="O52" s="5"/>
      <c r="P52" s="5"/>
      <c r="Q52" s="5"/>
      <c r="R52" s="5"/>
      <c r="S52" s="5"/>
      <c r="T52" s="5"/>
      <c r="U52" s="5"/>
      <c r="V52" s="5"/>
    </row>
    <row r="53" spans="1:22" ht="13.5" customHeight="1" x14ac:dyDescent="0.2">
      <c r="A53" s="1"/>
      <c r="B53" s="5"/>
      <c r="C53" s="5"/>
      <c r="D53" s="5"/>
      <c r="E53" s="5"/>
      <c r="F53" s="5"/>
      <c r="G53" s="5"/>
      <c r="H53" s="5"/>
      <c r="I53" s="5"/>
      <c r="J53" s="5"/>
      <c r="K53" s="5"/>
      <c r="L53" s="5"/>
      <c r="M53" s="5"/>
      <c r="N53" s="5"/>
      <c r="O53" s="5"/>
      <c r="P53" s="5"/>
      <c r="Q53" s="5"/>
      <c r="R53" s="5"/>
      <c r="S53" s="5"/>
      <c r="T53" s="5"/>
      <c r="U53" s="5"/>
      <c r="V53" s="5"/>
    </row>
    <row r="54" spans="1:22" ht="13.5" customHeight="1" x14ac:dyDescent="0.2">
      <c r="A54" s="1"/>
      <c r="B54" s="5"/>
      <c r="C54" s="5"/>
      <c r="D54" s="5"/>
      <c r="E54" s="5"/>
      <c r="F54" s="5"/>
      <c r="G54" s="5"/>
      <c r="H54" s="5"/>
      <c r="I54" s="5"/>
      <c r="J54" s="5"/>
      <c r="K54" s="5"/>
      <c r="L54" s="5"/>
      <c r="M54" s="5"/>
      <c r="N54" s="5"/>
      <c r="O54" s="5"/>
      <c r="P54" s="5"/>
      <c r="Q54" s="5"/>
      <c r="R54" s="5"/>
      <c r="S54" s="5"/>
      <c r="T54" s="5"/>
      <c r="U54" s="5"/>
      <c r="V54" s="5"/>
    </row>
    <row r="55" spans="1:22" ht="13.5" customHeight="1" x14ac:dyDescent="0.2">
      <c r="A55" s="1"/>
      <c r="B55" s="5"/>
      <c r="C55" s="5"/>
      <c r="D55" s="5"/>
      <c r="E55" s="5"/>
      <c r="F55" s="5"/>
      <c r="G55" s="5"/>
      <c r="H55" s="5"/>
      <c r="I55" s="5"/>
      <c r="J55" s="5"/>
      <c r="K55" s="5"/>
      <c r="L55" s="5"/>
      <c r="M55" s="5"/>
      <c r="N55" s="5"/>
      <c r="O55" s="5"/>
      <c r="P55" s="5"/>
      <c r="Q55" s="5"/>
      <c r="R55" s="5"/>
      <c r="S55" s="5"/>
      <c r="T55" s="5"/>
      <c r="U55" s="5"/>
      <c r="V55" s="5"/>
    </row>
    <row r="56" spans="1:22" ht="13.5" customHeight="1" x14ac:dyDescent="0.2">
      <c r="A56" s="1"/>
      <c r="B56" s="5"/>
      <c r="C56" s="5"/>
      <c r="D56" s="5"/>
      <c r="E56" s="5"/>
      <c r="F56" s="5"/>
      <c r="G56" s="5"/>
      <c r="H56" s="5"/>
      <c r="I56" s="5"/>
      <c r="J56" s="5"/>
      <c r="K56" s="5"/>
      <c r="L56" s="5"/>
      <c r="M56" s="5"/>
      <c r="N56" s="5"/>
      <c r="O56" s="5"/>
      <c r="P56" s="5"/>
      <c r="Q56" s="5"/>
      <c r="R56" s="5"/>
      <c r="S56" s="5"/>
      <c r="T56" s="5"/>
      <c r="U56" s="5"/>
      <c r="V56" s="5"/>
    </row>
    <row r="57" spans="1:22" ht="13.5" customHeight="1" x14ac:dyDescent="0.2">
      <c r="A57" s="1"/>
      <c r="B57" s="64">
        <v>2021</v>
      </c>
      <c r="C57" s="64">
        <v>2020</v>
      </c>
      <c r="D57" s="64">
        <v>2019</v>
      </c>
      <c r="E57" s="64">
        <v>2018</v>
      </c>
      <c r="F57" s="64">
        <v>2017</v>
      </c>
      <c r="G57" s="5"/>
      <c r="H57" s="5"/>
      <c r="I57" s="5"/>
      <c r="J57" s="5"/>
      <c r="K57" s="5"/>
      <c r="L57" s="5"/>
      <c r="M57" s="5"/>
      <c r="N57" s="5"/>
      <c r="O57" s="5"/>
      <c r="P57" s="5"/>
      <c r="Q57" s="5"/>
      <c r="R57" s="5"/>
      <c r="S57" s="5"/>
      <c r="T57" s="5"/>
      <c r="U57" s="5"/>
      <c r="V57" s="5"/>
    </row>
    <row r="58" spans="1:22" ht="13.5" customHeight="1" x14ac:dyDescent="0.2">
      <c r="A58" s="2" t="s">
        <v>42</v>
      </c>
      <c r="B58" s="5">
        <f>B22</f>
        <v>99049000</v>
      </c>
      <c r="C58" s="5">
        <f>C22</f>
        <v>75697000</v>
      </c>
      <c r="D58" s="5">
        <f>D22</f>
        <v>57132000</v>
      </c>
      <c r="E58" s="5">
        <f>E22</f>
        <v>55772000</v>
      </c>
      <c r="F58" s="5">
        <f>F22</f>
        <v>53169000</v>
      </c>
      <c r="G58" s="5"/>
      <c r="H58" s="5"/>
      <c r="I58" s="5"/>
      <c r="J58" s="5"/>
      <c r="K58" s="5"/>
      <c r="L58" s="5"/>
      <c r="M58" s="5"/>
      <c r="N58" s="5"/>
      <c r="O58" s="5"/>
      <c r="P58" s="5"/>
      <c r="Q58" s="5"/>
      <c r="R58" s="5"/>
      <c r="S58" s="5"/>
      <c r="T58" s="5"/>
      <c r="U58" s="5"/>
      <c r="V58" s="5"/>
    </row>
    <row r="59" spans="1:22" ht="13.5" customHeight="1" x14ac:dyDescent="0.2">
      <c r="A59" s="2" t="s">
        <v>86</v>
      </c>
      <c r="B59" s="5">
        <f>B27</f>
        <v>62557000</v>
      </c>
      <c r="C59" s="5">
        <f>C27</f>
        <v>38350000</v>
      </c>
      <c r="D59" s="5">
        <f>D27</f>
        <v>26652000</v>
      </c>
      <c r="E59" s="5">
        <f>E27</f>
        <v>25574000</v>
      </c>
      <c r="F59" s="5">
        <f>F27</f>
        <v>26546000</v>
      </c>
      <c r="G59" s="5"/>
      <c r="H59" s="5"/>
      <c r="I59" s="5"/>
      <c r="J59" s="5"/>
      <c r="K59" s="5"/>
      <c r="L59" s="5"/>
      <c r="M59" s="5"/>
      <c r="N59" s="5"/>
      <c r="O59" s="5"/>
      <c r="P59" s="5"/>
      <c r="Q59" s="5"/>
      <c r="R59" s="5"/>
      <c r="S59" s="5"/>
      <c r="T59" s="5"/>
      <c r="U59" s="5"/>
      <c r="V59" s="5"/>
    </row>
    <row r="60" spans="1:22" ht="13.5" customHeight="1" x14ac:dyDescent="0.2">
      <c r="A60" s="2" t="s">
        <v>153</v>
      </c>
      <c r="B60" s="5">
        <f>B8</f>
        <v>34619000</v>
      </c>
      <c r="C60" s="5">
        <f t="shared" ref="C60:F60" si="4">C8</f>
        <v>23502000</v>
      </c>
      <c r="D60" s="5">
        <f t="shared" si="4"/>
        <v>16422000</v>
      </c>
      <c r="E60" s="5">
        <f t="shared" si="4"/>
        <v>13592000</v>
      </c>
      <c r="F60" s="5">
        <f t="shared" si="4"/>
        <v>13166000</v>
      </c>
      <c r="G60" s="1"/>
      <c r="H60" s="1"/>
      <c r="I60" s="1"/>
      <c r="J60" s="1"/>
      <c r="K60" s="1"/>
      <c r="L60" s="1"/>
      <c r="M60" s="1"/>
      <c r="N60" s="1"/>
      <c r="O60" s="1"/>
      <c r="P60" s="1"/>
    </row>
    <row r="61" spans="1:22" ht="13.5" customHeight="1" x14ac:dyDescent="0.2">
      <c r="A61" s="2" t="s">
        <v>44</v>
      </c>
      <c r="B61" s="5">
        <f>B25</f>
        <v>24981000</v>
      </c>
      <c r="C61" s="5">
        <f t="shared" ref="C61:F61" si="5">C25</f>
        <v>18752000</v>
      </c>
      <c r="D61" s="5">
        <f t="shared" si="5"/>
        <v>13796000</v>
      </c>
      <c r="E61" s="5">
        <f t="shared" si="5"/>
        <v>14172000</v>
      </c>
      <c r="F61" s="5">
        <f t="shared" si="5"/>
        <v>14732000</v>
      </c>
      <c r="G61" s="1"/>
      <c r="H61" s="1"/>
      <c r="I61" s="1"/>
      <c r="J61" s="1"/>
      <c r="K61" s="1"/>
      <c r="L61" s="1"/>
      <c r="M61" s="1"/>
      <c r="N61" s="1"/>
      <c r="O61" s="1"/>
      <c r="P61" s="1"/>
    </row>
    <row r="62" spans="1:22" ht="13.5" customHeight="1" x14ac:dyDescent="0.2">
      <c r="A62" s="2" t="s">
        <v>276</v>
      </c>
      <c r="B62" s="5">
        <f>B31</f>
        <v>53197000</v>
      </c>
      <c r="C62" s="5">
        <f>C31</f>
        <v>49410000</v>
      </c>
      <c r="D62" s="5">
        <f>D31+D28</f>
        <v>32249000</v>
      </c>
      <c r="E62" s="5">
        <f>E31+E28</f>
        <v>29338000</v>
      </c>
      <c r="F62" s="5">
        <f>F31+F28</f>
        <v>33150000</v>
      </c>
      <c r="G62" s="1"/>
      <c r="H62" s="1"/>
      <c r="I62" s="1"/>
      <c r="J62" s="1"/>
      <c r="K62" s="1"/>
      <c r="L62" s="1"/>
      <c r="M62" s="1"/>
      <c r="N62" s="1"/>
      <c r="O62" s="1"/>
      <c r="P62" s="1"/>
    </row>
    <row r="63" spans="1:22" ht="13.5" customHeight="1" thickBot="1" x14ac:dyDescent="0.25">
      <c r="A63" s="2" t="s">
        <v>137</v>
      </c>
      <c r="B63" s="9">
        <f>SUM(B58:B62)</f>
        <v>274403000</v>
      </c>
      <c r="C63" s="9">
        <f t="shared" ref="C63:F63" si="6">SUM(C58:C62)</f>
        <v>205711000</v>
      </c>
      <c r="D63" s="9">
        <f t="shared" si="6"/>
        <v>146251000</v>
      </c>
      <c r="E63" s="9">
        <f t="shared" si="6"/>
        <v>138448000</v>
      </c>
      <c r="F63" s="9">
        <f t="shared" si="6"/>
        <v>140763000</v>
      </c>
    </row>
    <row r="64" spans="1:22" ht="13.5" customHeight="1" thickTop="1" x14ac:dyDescent="0.2">
      <c r="B64" s="16"/>
      <c r="C64" s="16"/>
      <c r="D64" s="16"/>
      <c r="E64" s="16"/>
      <c r="F64" s="16"/>
    </row>
    <row r="65" spans="1:7" ht="13.5" customHeight="1" x14ac:dyDescent="0.2">
      <c r="A65" s="2" t="s">
        <v>42</v>
      </c>
      <c r="B65" s="71">
        <f>B58/B$63</f>
        <v>0.36096179706490089</v>
      </c>
      <c r="C65" s="71">
        <f t="shared" ref="C65:F65" si="7">C58/C$63</f>
        <v>0.36797740519466632</v>
      </c>
      <c r="D65" s="71">
        <f t="shared" si="7"/>
        <v>0.39064348277960492</v>
      </c>
      <c r="E65" s="71">
        <f t="shared" si="7"/>
        <v>0.40283716630070499</v>
      </c>
      <c r="F65" s="71">
        <f t="shared" si="7"/>
        <v>0.37771999744250973</v>
      </c>
      <c r="G65" s="71"/>
    </row>
    <row r="66" spans="1:7" ht="13.5" customHeight="1" x14ac:dyDescent="0.2">
      <c r="A66" s="2" t="s">
        <v>86</v>
      </c>
      <c r="B66" s="71">
        <f t="shared" ref="B66:F69" si="8">B59/B$63</f>
        <v>0.22797491281071999</v>
      </c>
      <c r="C66" s="71">
        <f t="shared" si="8"/>
        <v>0.18642658875801488</v>
      </c>
      <c r="D66" s="71">
        <f t="shared" si="8"/>
        <v>0.18223465138699907</v>
      </c>
      <c r="E66" s="71">
        <f t="shared" si="8"/>
        <v>0.18471917254131515</v>
      </c>
      <c r="F66" s="71">
        <f t="shared" si="8"/>
        <v>0.18858648934734271</v>
      </c>
      <c r="G66" s="71"/>
    </row>
    <row r="67" spans="1:7" ht="13.5" customHeight="1" x14ac:dyDescent="0.2">
      <c r="A67" s="2" t="s">
        <v>153</v>
      </c>
      <c r="B67" s="71">
        <f t="shared" si="8"/>
        <v>0.12616115713020631</v>
      </c>
      <c r="C67" s="71">
        <f>C60/C$63</f>
        <v>0.11424765812231723</v>
      </c>
      <c r="D67" s="71">
        <f t="shared" si="8"/>
        <v>0.11228641171684296</v>
      </c>
      <c r="E67" s="71">
        <f t="shared" si="8"/>
        <v>9.817404368427135E-2</v>
      </c>
      <c r="F67" s="71">
        <f t="shared" si="8"/>
        <v>9.3533101738382959E-2</v>
      </c>
      <c r="G67" s="71"/>
    </row>
    <row r="68" spans="1:7" ht="13.5" customHeight="1" x14ac:dyDescent="0.2">
      <c r="A68" s="2" t="s">
        <v>44</v>
      </c>
      <c r="B68" s="71">
        <f t="shared" si="8"/>
        <v>9.1037634428195027E-2</v>
      </c>
      <c r="C68" s="71">
        <f t="shared" si="8"/>
        <v>9.1157011535600921E-2</v>
      </c>
      <c r="D68" s="71">
        <f t="shared" si="8"/>
        <v>9.4330978933477375E-2</v>
      </c>
      <c r="E68" s="71">
        <f>E61/E$63</f>
        <v>0.10236334219345891</v>
      </c>
      <c r="F68" s="71">
        <f t="shared" si="8"/>
        <v>0.1046581843240056</v>
      </c>
      <c r="G68" s="71"/>
    </row>
    <row r="69" spans="1:7" ht="13.5" customHeight="1" x14ac:dyDescent="0.2">
      <c r="A69" s="2" t="s">
        <v>276</v>
      </c>
      <c r="B69" s="71">
        <f t="shared" si="8"/>
        <v>0.19386449856597779</v>
      </c>
      <c r="C69" s="71">
        <f t="shared" si="8"/>
        <v>0.24019133638940066</v>
      </c>
      <c r="D69" s="71">
        <f t="shared" si="8"/>
        <v>0.22050447518307567</v>
      </c>
      <c r="E69" s="71">
        <f t="shared" si="8"/>
        <v>0.21190627528024963</v>
      </c>
      <c r="F69" s="71">
        <f t="shared" si="8"/>
        <v>0.23550222714775901</v>
      </c>
      <c r="G69" s="71"/>
    </row>
    <row r="70" spans="1:7" ht="13.5" customHeight="1" thickBot="1" x14ac:dyDescent="0.25">
      <c r="A70" s="2" t="s">
        <v>137</v>
      </c>
      <c r="B70" s="100">
        <f>SUM(B65:B69)</f>
        <v>1</v>
      </c>
      <c r="C70" s="100">
        <f t="shared" ref="C70" si="9">SUM(C65:C69)</f>
        <v>1</v>
      </c>
      <c r="D70" s="100">
        <f t="shared" ref="D70" si="10">SUM(D65:D69)</f>
        <v>1</v>
      </c>
      <c r="E70" s="100">
        <f t="shared" ref="E70" si="11">SUM(E65:E69)</f>
        <v>1</v>
      </c>
      <c r="F70" s="100">
        <f t="shared" ref="F70" si="12">SUM(F65:F69)</f>
        <v>1</v>
      </c>
      <c r="G70" s="71"/>
    </row>
    <row r="71" spans="1:7" ht="13.5" customHeight="1" thickTop="1" x14ac:dyDescent="0.2">
      <c r="B71" s="71"/>
      <c r="C71" s="71"/>
      <c r="D71" s="71"/>
      <c r="E71" s="71"/>
      <c r="F71" s="71"/>
      <c r="G71" s="71"/>
    </row>
    <row r="72" spans="1:7" ht="13.5" customHeight="1" x14ac:dyDescent="0.2">
      <c r="B72" s="71"/>
      <c r="C72" s="71"/>
      <c r="D72" s="71"/>
      <c r="E72" s="71"/>
      <c r="F72" s="71"/>
      <c r="G72" s="71"/>
    </row>
    <row r="73" spans="1:7" ht="13.5" customHeight="1" x14ac:dyDescent="0.2">
      <c r="B73" s="71"/>
      <c r="C73" s="71"/>
      <c r="D73" s="71"/>
      <c r="E73" s="71"/>
      <c r="F73" s="71"/>
      <c r="G73" s="71"/>
    </row>
  </sheetData>
  <mergeCells count="1">
    <mergeCell ref="A1:D1"/>
  </mergeCells>
  <pageMargins left="0.7" right="0.7" top="0.75" bottom="0.75" header="0.3" footer="0.3"/>
  <pageSetup orientation="portrait" r:id="rId1"/>
  <ignoredErrors>
    <ignoredError sqref="J32:V32 B32:I3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0"/>
  <sheetViews>
    <sheetView zoomScale="140" zoomScaleNormal="140" workbookViewId="0"/>
  </sheetViews>
  <sheetFormatPr baseColWidth="10" defaultColWidth="9.1640625" defaultRowHeight="12" x14ac:dyDescent="0.15"/>
  <cols>
    <col min="1" max="1" width="43.5" style="10" customWidth="1"/>
    <col min="2" max="2" width="29.6640625" style="1" bestFit="1" customWidth="1"/>
    <col min="3" max="4" width="9" style="1" bestFit="1" customWidth="1"/>
    <col min="5" max="5" width="11.5" style="1" bestFit="1" customWidth="1"/>
    <col min="6" max="6" width="42.33203125" style="1" bestFit="1" customWidth="1"/>
    <col min="7" max="16384" width="9.1640625" style="1"/>
  </cols>
  <sheetData>
    <row r="1" spans="1:6" ht="15" x14ac:dyDescent="0.2">
      <c r="A1" s="72" t="s">
        <v>189</v>
      </c>
      <c r="B1" s="109" t="s">
        <v>214</v>
      </c>
    </row>
    <row r="3" spans="1:6" x14ac:dyDescent="0.15">
      <c r="A3" s="3" t="s">
        <v>50</v>
      </c>
      <c r="B3" s="2" t="s">
        <v>51</v>
      </c>
      <c r="C3" s="3" t="s">
        <v>70</v>
      </c>
      <c r="D3" s="3" t="s">
        <v>83</v>
      </c>
      <c r="E3" s="3" t="s">
        <v>71</v>
      </c>
      <c r="F3" s="2" t="s">
        <v>54</v>
      </c>
    </row>
    <row r="4" spans="1:6" x14ac:dyDescent="0.15">
      <c r="A4" s="12">
        <v>9788371465</v>
      </c>
      <c r="B4" s="1" t="s">
        <v>75</v>
      </c>
      <c r="C4" s="5">
        <v>313253</v>
      </c>
      <c r="D4" s="5">
        <v>1170</v>
      </c>
      <c r="E4" s="5">
        <f>SUM(C4:D4)</f>
        <v>314423</v>
      </c>
      <c r="F4" s="1" t="s">
        <v>55</v>
      </c>
    </row>
    <row r="5" spans="1:6" x14ac:dyDescent="0.15">
      <c r="A5" s="12">
        <v>9788371399</v>
      </c>
      <c r="B5" s="1" t="s">
        <v>76</v>
      </c>
      <c r="C5" s="5">
        <v>603593</v>
      </c>
      <c r="D5" s="5">
        <v>638810</v>
      </c>
      <c r="E5" s="5">
        <f>SUM(C5:D5)</f>
        <v>1242403</v>
      </c>
      <c r="F5" s="1" t="s">
        <v>56</v>
      </c>
    </row>
    <row r="6" spans="1:6" x14ac:dyDescent="0.15">
      <c r="A6" s="12">
        <v>9788376817</v>
      </c>
      <c r="B6" s="1" t="s">
        <v>77</v>
      </c>
      <c r="C6" s="5">
        <v>1748729</v>
      </c>
      <c r="D6" s="5">
        <v>0</v>
      </c>
      <c r="E6" s="5">
        <f>SUM(C6:D6)</f>
        <v>1748729</v>
      </c>
      <c r="F6" s="1" t="s">
        <v>57</v>
      </c>
    </row>
    <row r="7" spans="1:6" x14ac:dyDescent="0.15">
      <c r="A7" s="12">
        <v>9788370384</v>
      </c>
      <c r="B7" s="1" t="s">
        <v>78</v>
      </c>
      <c r="C7" s="5">
        <v>726921</v>
      </c>
      <c r="D7" s="5">
        <v>4778</v>
      </c>
      <c r="E7" s="5">
        <f t="shared" ref="E7:E13" si="0">SUM(C7:D7)</f>
        <v>731699</v>
      </c>
      <c r="F7" s="1" t="s">
        <v>58</v>
      </c>
    </row>
    <row r="8" spans="1:6" x14ac:dyDescent="0.15">
      <c r="A8" s="12">
        <v>9788279429</v>
      </c>
      <c r="B8" s="1" t="s">
        <v>79</v>
      </c>
      <c r="C8" s="5">
        <v>432648</v>
      </c>
      <c r="D8" s="5">
        <v>0</v>
      </c>
      <c r="E8" s="5">
        <f t="shared" si="0"/>
        <v>432648</v>
      </c>
      <c r="F8" s="1" t="s">
        <v>59</v>
      </c>
    </row>
    <row r="9" spans="1:6" x14ac:dyDescent="0.15">
      <c r="A9" s="12" t="s">
        <v>216</v>
      </c>
      <c r="B9" s="1" t="s">
        <v>80</v>
      </c>
      <c r="C9" s="5">
        <v>479003</v>
      </c>
      <c r="D9" s="5">
        <v>308562</v>
      </c>
      <c r="E9" s="5">
        <f t="shared" si="0"/>
        <v>787565</v>
      </c>
      <c r="F9" s="1" t="s">
        <v>60</v>
      </c>
    </row>
    <row r="10" spans="1:6" x14ac:dyDescent="0.15">
      <c r="A10" s="12" t="s">
        <v>61</v>
      </c>
      <c r="B10" s="1" t="s">
        <v>62</v>
      </c>
      <c r="C10" s="5">
        <v>214230</v>
      </c>
      <c r="D10" s="5">
        <v>497819</v>
      </c>
      <c r="E10" s="5">
        <f t="shared" si="0"/>
        <v>712049</v>
      </c>
      <c r="F10" s="1" t="s">
        <v>63</v>
      </c>
    </row>
    <row r="11" spans="1:6" x14ac:dyDescent="0.15">
      <c r="A11" s="12" t="s">
        <v>65</v>
      </c>
      <c r="B11" s="1" t="s">
        <v>64</v>
      </c>
      <c r="C11" s="5">
        <v>188539</v>
      </c>
      <c r="D11" s="5">
        <v>461617</v>
      </c>
      <c r="E11" s="5">
        <f t="shared" si="0"/>
        <v>650156</v>
      </c>
      <c r="F11" s="1" t="s">
        <v>63</v>
      </c>
    </row>
    <row r="12" spans="1:6" x14ac:dyDescent="0.15">
      <c r="A12" s="12" t="s">
        <v>66</v>
      </c>
      <c r="B12" s="1" t="s">
        <v>81</v>
      </c>
      <c r="C12" s="5">
        <v>346063</v>
      </c>
      <c r="D12" s="5">
        <v>69359</v>
      </c>
      <c r="E12" s="5">
        <f t="shared" si="0"/>
        <v>415422</v>
      </c>
      <c r="F12" s="1" t="s">
        <v>67</v>
      </c>
    </row>
    <row r="13" spans="1:6" x14ac:dyDescent="0.15">
      <c r="A13" s="12" t="s">
        <v>68</v>
      </c>
      <c r="B13" s="1" t="s">
        <v>82</v>
      </c>
      <c r="C13" s="5">
        <v>240926</v>
      </c>
      <c r="D13" s="5">
        <v>274286</v>
      </c>
      <c r="E13" s="5">
        <f t="shared" si="0"/>
        <v>515212</v>
      </c>
      <c r="F13" s="1" t="s">
        <v>69</v>
      </c>
    </row>
    <row r="14" spans="1:6" ht="13" thickBot="1" x14ac:dyDescent="0.2">
      <c r="A14" s="12"/>
      <c r="C14" s="9">
        <f>SUM(C4:C13)</f>
        <v>5293905</v>
      </c>
      <c r="D14" s="9">
        <f>SUM(D4:D13)</f>
        <v>2256401</v>
      </c>
      <c r="E14" s="9">
        <f>SUM(E4:E13)</f>
        <v>7550306</v>
      </c>
    </row>
    <row r="15" spans="1:6" ht="13" thickTop="1" x14ac:dyDescent="0.15">
      <c r="C15" s="5"/>
      <c r="D15" s="5"/>
      <c r="E15" s="5"/>
    </row>
    <row r="16" spans="1:6" x14ac:dyDescent="0.15">
      <c r="A16" s="13" t="s">
        <v>52</v>
      </c>
    </row>
    <row r="17" spans="1:6" x14ac:dyDescent="0.15">
      <c r="A17" s="11" t="s">
        <v>53</v>
      </c>
    </row>
    <row r="18" spans="1:6" x14ac:dyDescent="0.15">
      <c r="A18" s="11" t="s">
        <v>74</v>
      </c>
      <c r="B18" s="11"/>
      <c r="C18" s="11"/>
      <c r="D18" s="11"/>
      <c r="E18" s="11"/>
      <c r="F18" s="11"/>
    </row>
    <row r="19" spans="1:6" x14ac:dyDescent="0.15">
      <c r="A19" s="11" t="s">
        <v>72</v>
      </c>
      <c r="B19" s="11"/>
      <c r="C19" s="11"/>
      <c r="D19" s="11"/>
      <c r="E19" s="11"/>
      <c r="F19" s="11"/>
    </row>
    <row r="20" spans="1:6" x14ac:dyDescent="0.15">
      <c r="A20" s="11" t="s">
        <v>73</v>
      </c>
      <c r="B20" s="11"/>
      <c r="C20" s="11"/>
      <c r="D20" s="11"/>
      <c r="E20" s="11"/>
      <c r="F20" s="11"/>
    </row>
    <row r="21" spans="1:6" x14ac:dyDescent="0.15">
      <c r="A21" s="11"/>
      <c r="B21" s="11"/>
      <c r="C21" s="11"/>
      <c r="D21" s="11"/>
      <c r="E21" s="11"/>
      <c r="F21" s="11"/>
    </row>
    <row r="22" spans="1:6" x14ac:dyDescent="0.15">
      <c r="A22" s="13" t="s">
        <v>163</v>
      </c>
      <c r="B22" s="11"/>
      <c r="C22" s="11"/>
      <c r="D22" s="11"/>
      <c r="E22" s="11"/>
      <c r="F22" s="11"/>
    </row>
    <row r="23" spans="1:6" x14ac:dyDescent="0.15">
      <c r="A23" s="11"/>
      <c r="B23" s="11"/>
      <c r="C23" s="11"/>
      <c r="D23" s="11"/>
      <c r="E23" s="11"/>
      <c r="F23" s="11"/>
    </row>
    <row r="24" spans="1:6" x14ac:dyDescent="0.15">
      <c r="A24" s="11" t="s">
        <v>70</v>
      </c>
      <c r="B24" s="25">
        <v>1107582</v>
      </c>
      <c r="C24" s="11"/>
      <c r="D24" s="11"/>
      <c r="E24" s="11"/>
      <c r="F24" s="11"/>
    </row>
    <row r="25" spans="1:6" x14ac:dyDescent="0.15">
      <c r="A25" s="11" t="s">
        <v>164</v>
      </c>
      <c r="B25" s="25">
        <v>3196546</v>
      </c>
      <c r="C25" s="11"/>
      <c r="D25" s="11"/>
      <c r="E25" s="11"/>
      <c r="F25" s="11"/>
    </row>
    <row r="26" spans="1:6" x14ac:dyDescent="0.15">
      <c r="A26" s="11" t="s">
        <v>165</v>
      </c>
      <c r="B26" s="25">
        <v>4975753</v>
      </c>
      <c r="C26" s="11"/>
      <c r="D26" s="11"/>
      <c r="E26" s="11"/>
      <c r="F26" s="11"/>
    </row>
    <row r="27" spans="1:6" x14ac:dyDescent="0.15">
      <c r="A27" s="11" t="s">
        <v>166</v>
      </c>
      <c r="B27" s="25">
        <v>704417</v>
      </c>
      <c r="C27" s="11"/>
      <c r="D27" s="11"/>
      <c r="E27" s="11"/>
      <c r="F27" s="11"/>
    </row>
    <row r="28" spans="1:6" x14ac:dyDescent="0.15">
      <c r="A28" s="11" t="s">
        <v>167</v>
      </c>
      <c r="B28" s="26">
        <f>SUM(B24:B27)</f>
        <v>9984298</v>
      </c>
      <c r="C28" s="11"/>
      <c r="D28" s="11"/>
      <c r="E28" s="11"/>
      <c r="F28" s="11"/>
    </row>
    <row r="29" spans="1:6" x14ac:dyDescent="0.15">
      <c r="A29" s="11" t="s">
        <v>84</v>
      </c>
      <c r="B29" s="25">
        <v>-6311981</v>
      </c>
      <c r="C29" s="11"/>
      <c r="D29" s="11"/>
      <c r="E29" s="11"/>
      <c r="F29" s="11"/>
    </row>
    <row r="30" spans="1:6" x14ac:dyDescent="0.15">
      <c r="A30" s="13" t="s">
        <v>85</v>
      </c>
      <c r="B30" s="27">
        <f>SUM(B28:B29)</f>
        <v>3672317</v>
      </c>
      <c r="C30" s="11"/>
      <c r="D30" s="11"/>
      <c r="E30" s="11"/>
      <c r="F30" s="11"/>
    </row>
    <row r="31" spans="1:6" x14ac:dyDescent="0.15">
      <c r="A31" s="11"/>
      <c r="B31" s="11"/>
      <c r="C31" s="11"/>
      <c r="D31" s="11"/>
      <c r="E31" s="11"/>
      <c r="F31" s="11"/>
    </row>
    <row r="32" spans="1:6" x14ac:dyDescent="0.15">
      <c r="A32" s="11" t="s">
        <v>168</v>
      </c>
      <c r="B32" s="28">
        <f>C14</f>
        <v>5293905</v>
      </c>
      <c r="C32" s="11"/>
      <c r="D32" s="11"/>
      <c r="E32" s="11"/>
      <c r="F32" s="11"/>
    </row>
    <row r="33" spans="1:6" x14ac:dyDescent="0.15">
      <c r="A33" s="11" t="s">
        <v>170</v>
      </c>
      <c r="B33" s="28">
        <f>-B24</f>
        <v>-1107582</v>
      </c>
      <c r="C33" s="11"/>
      <c r="D33" s="11"/>
      <c r="E33" s="11"/>
      <c r="F33" s="11"/>
    </row>
    <row r="34" spans="1:6" ht="13" thickBot="1" x14ac:dyDescent="0.2">
      <c r="A34" s="13" t="s">
        <v>173</v>
      </c>
      <c r="B34" s="29">
        <f>SUM(B32:B33)</f>
        <v>4186323</v>
      </c>
      <c r="C34" s="11"/>
      <c r="D34" s="11"/>
      <c r="E34" s="11"/>
      <c r="F34" s="11"/>
    </row>
    <row r="35" spans="1:6" ht="13" thickTop="1" x14ac:dyDescent="0.15">
      <c r="A35" s="11"/>
      <c r="B35" s="11"/>
      <c r="C35" s="11"/>
      <c r="D35" s="11"/>
      <c r="E35" s="11"/>
      <c r="F35" s="11"/>
    </row>
    <row r="36" spans="1:6" x14ac:dyDescent="0.15">
      <c r="A36" s="11" t="s">
        <v>169</v>
      </c>
      <c r="B36" s="28">
        <f>D14</f>
        <v>2256401</v>
      </c>
      <c r="C36" s="11"/>
      <c r="D36" s="11"/>
      <c r="E36" s="11"/>
      <c r="F36" s="11"/>
    </row>
    <row r="37" spans="1:6" x14ac:dyDescent="0.15">
      <c r="A37" s="11" t="s">
        <v>172</v>
      </c>
      <c r="B37" s="25">
        <f>-(B25+(B29/SUM(B25:B27))*B25)</f>
        <v>-923572.79486129759</v>
      </c>
      <c r="C37" s="11"/>
      <c r="D37" s="11"/>
      <c r="E37" s="11"/>
      <c r="F37" s="11"/>
    </row>
    <row r="38" spans="1:6" ht="13" thickBot="1" x14ac:dyDescent="0.2">
      <c r="A38" s="13" t="s">
        <v>174</v>
      </c>
      <c r="B38" s="29">
        <f>SUM(B36:B37)</f>
        <v>1332828.2051387024</v>
      </c>
      <c r="C38" s="11"/>
      <c r="D38" s="11"/>
      <c r="E38" s="11"/>
      <c r="F38" s="11"/>
    </row>
    <row r="39" spans="1:6" ht="13" thickTop="1" x14ac:dyDescent="0.15">
      <c r="A39" s="11"/>
      <c r="B39" s="11"/>
      <c r="C39" s="11"/>
      <c r="D39" s="11"/>
      <c r="E39" s="11"/>
      <c r="F39" s="11"/>
    </row>
    <row r="40" spans="1:6" x14ac:dyDescent="0.15">
      <c r="A40" s="11"/>
      <c r="B40" s="11"/>
      <c r="C40" s="11"/>
      <c r="D40" s="11"/>
      <c r="E40" s="11"/>
      <c r="F40" s="11"/>
    </row>
    <row r="41" spans="1:6" x14ac:dyDescent="0.15">
      <c r="A41" s="11"/>
      <c r="B41" s="11"/>
      <c r="C41" s="11"/>
      <c r="D41" s="11"/>
      <c r="E41" s="11"/>
      <c r="F41" s="11"/>
    </row>
    <row r="42" spans="1:6" x14ac:dyDescent="0.15">
      <c r="A42" s="11"/>
      <c r="B42" s="11"/>
      <c r="C42" s="11"/>
      <c r="D42" s="11"/>
      <c r="E42" s="11"/>
      <c r="F42" s="11"/>
    </row>
    <row r="43" spans="1:6" x14ac:dyDescent="0.15">
      <c r="A43" s="11"/>
      <c r="B43" s="11"/>
      <c r="C43" s="11"/>
      <c r="D43" s="11"/>
      <c r="E43" s="11"/>
      <c r="F43" s="11"/>
    </row>
    <row r="44" spans="1:6" x14ac:dyDescent="0.15">
      <c r="A44" s="11"/>
      <c r="B44" s="11"/>
      <c r="C44" s="11"/>
      <c r="D44" s="11"/>
      <c r="E44" s="11"/>
      <c r="F44" s="11"/>
    </row>
    <row r="45" spans="1:6" x14ac:dyDescent="0.15">
      <c r="A45" s="11"/>
      <c r="B45" s="11"/>
      <c r="C45" s="11"/>
      <c r="D45" s="11"/>
      <c r="E45" s="11"/>
      <c r="F45" s="11"/>
    </row>
    <row r="46" spans="1:6" x14ac:dyDescent="0.15">
      <c r="A46" s="11"/>
      <c r="B46" s="11"/>
      <c r="C46" s="11"/>
      <c r="D46" s="11"/>
      <c r="E46" s="11"/>
      <c r="F46" s="11"/>
    </row>
    <row r="47" spans="1:6" x14ac:dyDescent="0.15">
      <c r="A47" s="11"/>
      <c r="B47" s="11"/>
      <c r="C47" s="11"/>
      <c r="D47" s="11"/>
      <c r="E47" s="11"/>
      <c r="F47" s="11"/>
    </row>
    <row r="48" spans="1:6" x14ac:dyDescent="0.15">
      <c r="A48" s="11"/>
      <c r="B48" s="11"/>
      <c r="C48" s="11"/>
      <c r="D48" s="11"/>
      <c r="E48" s="11"/>
      <c r="F48" s="11"/>
    </row>
    <row r="49" spans="1:6" x14ac:dyDescent="0.15">
      <c r="A49" s="11"/>
      <c r="B49" s="11"/>
      <c r="C49" s="11"/>
      <c r="D49" s="11"/>
      <c r="E49" s="11"/>
      <c r="F49" s="11"/>
    </row>
    <row r="50" spans="1:6" x14ac:dyDescent="0.15">
      <c r="A50" s="11"/>
      <c r="B50" s="11"/>
      <c r="C50" s="11"/>
      <c r="D50" s="11"/>
      <c r="E50" s="11"/>
      <c r="F50" s="11"/>
    </row>
    <row r="51" spans="1:6" x14ac:dyDescent="0.15">
      <c r="A51" s="11"/>
      <c r="B51" s="11"/>
      <c r="C51" s="11"/>
      <c r="D51" s="11"/>
      <c r="E51" s="11"/>
      <c r="F51" s="11"/>
    </row>
    <row r="52" spans="1:6" x14ac:dyDescent="0.15">
      <c r="A52" s="11"/>
      <c r="B52" s="11"/>
      <c r="C52" s="11"/>
      <c r="D52" s="11"/>
      <c r="E52" s="11"/>
      <c r="F52" s="11"/>
    </row>
    <row r="53" spans="1:6" x14ac:dyDescent="0.15">
      <c r="A53" s="11"/>
      <c r="B53" s="11"/>
      <c r="C53" s="11"/>
      <c r="D53" s="11"/>
      <c r="E53" s="11"/>
      <c r="F53" s="11"/>
    </row>
    <row r="54" spans="1:6" x14ac:dyDescent="0.15">
      <c r="A54" s="11"/>
      <c r="B54" s="11"/>
      <c r="C54" s="11"/>
      <c r="D54" s="11"/>
      <c r="E54" s="11"/>
      <c r="F54" s="11"/>
    </row>
    <row r="55" spans="1:6" x14ac:dyDescent="0.15">
      <c r="A55" s="11"/>
      <c r="B55" s="11"/>
      <c r="C55" s="11"/>
      <c r="D55" s="11"/>
      <c r="E55" s="11"/>
      <c r="F55" s="11"/>
    </row>
    <row r="56" spans="1:6" x14ac:dyDescent="0.15">
      <c r="A56" s="11"/>
      <c r="B56" s="11"/>
      <c r="C56" s="11"/>
      <c r="D56" s="11"/>
      <c r="E56" s="11"/>
      <c r="F56" s="11"/>
    </row>
    <row r="57" spans="1:6" x14ac:dyDescent="0.15">
      <c r="A57" s="11"/>
      <c r="B57" s="11"/>
      <c r="C57" s="11"/>
      <c r="D57" s="11"/>
      <c r="E57" s="11"/>
      <c r="F57" s="11"/>
    </row>
    <row r="58" spans="1:6" x14ac:dyDescent="0.15">
      <c r="A58" s="11"/>
      <c r="B58" s="11"/>
      <c r="C58" s="11"/>
      <c r="D58" s="11"/>
      <c r="E58" s="11"/>
      <c r="F58" s="11"/>
    </row>
    <row r="59" spans="1:6" x14ac:dyDescent="0.15">
      <c r="A59" s="11"/>
      <c r="B59" s="11"/>
      <c r="C59" s="11"/>
      <c r="D59" s="11"/>
      <c r="E59" s="11"/>
      <c r="F59" s="11"/>
    </row>
    <row r="60" spans="1:6" x14ac:dyDescent="0.15">
      <c r="A60" s="11"/>
      <c r="B60" s="11"/>
      <c r="C60" s="11"/>
      <c r="D60" s="11"/>
      <c r="E60" s="11"/>
      <c r="F60" s="11"/>
    </row>
  </sheetData>
  <pageMargins left="0.7" right="0.7" top="0.75" bottom="0.75" header="0.3" footer="0.3"/>
  <pageSetup orientation="portrait" horizontalDpi="0" verticalDpi="0" r:id="rId1"/>
  <ignoredErrors>
    <ignoredError sqref="A10:A13 E10 G10:XFD10" numberStoredAsText="1"/>
    <ignoredError sqref="B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TERMS OF USE</vt:lpstr>
      <vt:lpstr>Balance Sheet Analysis</vt:lpstr>
      <vt:lpstr>Operating History Analysis</vt:lpstr>
      <vt:lpstr>Key Data</vt:lpstr>
      <vt:lpstr>Regional Breakdown</vt:lpstr>
      <vt:lpstr>Real Estate Assets (2010)</vt:lpstr>
    </vt:vector>
  </TitlesOfParts>
  <Manager/>
  <Company>The Rational Walk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Investors Title Company</dc:title>
  <dc:subject/>
  <dc:creator>The Rational Walk LLC</dc:creator>
  <cp:keywords/>
  <dc:description/>
  <cp:lastModifiedBy>Ravi Nagarajan</cp:lastModifiedBy>
  <cp:lastPrinted>2010-07-02T18:20:58Z</cp:lastPrinted>
  <dcterms:created xsi:type="dcterms:W3CDTF">2010-01-30T19:46:16Z</dcterms:created>
  <dcterms:modified xsi:type="dcterms:W3CDTF">2022-10-16T14:32:50Z</dcterms:modified>
  <cp:category/>
</cp:coreProperties>
</file>