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13"/>
  <workbookPr defaultThemeVersion="124226"/>
  <mc:AlternateContent xmlns:mc="http://schemas.openxmlformats.org/markup-compatibility/2006">
    <mc:Choice Requires="x15">
      <x15ac:absPath xmlns:x15ac="http://schemas.microsoft.com/office/spreadsheetml/2010/11/ac" url="/Users/ravi/Library/CloudStorage/OneDrive-Personal/Work Files/Company Research/Rational Reflections Write-Ups/Fastenal/To Publish/"/>
    </mc:Choice>
  </mc:AlternateContent>
  <xr:revisionPtr revIDLastSave="0" documentId="8_{A226CAD1-4709-254A-A95B-2BF4B1C47826}" xr6:coauthVersionLast="47" xr6:coauthVersionMax="47" xr10:uidLastSave="{00000000-0000-0000-0000-000000000000}"/>
  <bookViews>
    <workbookView xWindow="0" yWindow="500" windowWidth="28800" windowHeight="15900" tabRatio="783" xr2:uid="{00000000-000D-0000-FFFF-FFFF00000000}"/>
  </bookViews>
  <sheets>
    <sheet name="TERMS OF USE" sheetId="17" r:id="rId1"/>
    <sheet name="Balance Sheet (Annual)" sheetId="1" r:id="rId2"/>
    <sheet name="Operating Summary (Annual)" sheetId="9" r:id="rId3"/>
    <sheet name="Cash Flow Analysis (Annual)" sheetId="10" r:id="rId4"/>
    <sheet name="Key Statistics (Annual)" sheetId="16" r:id="rId5"/>
    <sheet name="Balance Sheet (Quarterly)" sheetId="19" r:id="rId6"/>
    <sheet name="Operating Summary (Quarterly)" sheetId="18" r:id="rId7"/>
    <sheet name="Key Statistics (Quarterly)" sheetId="20" r:id="rId8"/>
    <sheet name="Charts" sheetId="21"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1" i="10" l="1"/>
  <c r="B70" i="10"/>
  <c r="B69" i="10"/>
  <c r="O49" i="10"/>
  <c r="O46" i="10"/>
  <c r="B68" i="10"/>
  <c r="B67" i="10"/>
  <c r="B66" i="10"/>
  <c r="B65" i="10"/>
  <c r="O47" i="10"/>
  <c r="L62" i="10"/>
  <c r="B62" i="10"/>
  <c r="C46" i="10"/>
  <c r="D46" i="10"/>
  <c r="E46" i="10"/>
  <c r="F46" i="10"/>
  <c r="G46" i="10"/>
  <c r="H46" i="10"/>
  <c r="I46" i="10"/>
  <c r="J46" i="10"/>
  <c r="K46" i="10"/>
  <c r="L46" i="10"/>
  <c r="M46" i="10"/>
  <c r="N46" i="10"/>
  <c r="B46" i="10"/>
  <c r="B54" i="10"/>
  <c r="B55" i="10"/>
  <c r="N54" i="10"/>
  <c r="O50" i="10"/>
  <c r="O51" i="10"/>
  <c r="O52" i="10"/>
  <c r="O53" i="10"/>
  <c r="B56" i="10" l="1"/>
  <c r="B59" i="10" s="1"/>
  <c r="O55" i="10"/>
  <c r="O54" i="10"/>
  <c r="O54" i="19"/>
  <c r="P54" i="19"/>
  <c r="Q54" i="19"/>
  <c r="C54" i="19"/>
  <c r="D54" i="19"/>
  <c r="E54" i="19"/>
  <c r="F54" i="19"/>
  <c r="G54" i="19"/>
  <c r="H54" i="19"/>
  <c r="I54" i="19"/>
  <c r="J54" i="19"/>
  <c r="K54" i="19"/>
  <c r="L54" i="19"/>
  <c r="M54" i="19"/>
  <c r="N54" i="19"/>
  <c r="B54" i="19"/>
  <c r="C59" i="1"/>
  <c r="D59" i="1"/>
  <c r="E59" i="1"/>
  <c r="F59" i="1"/>
  <c r="G59" i="1"/>
  <c r="H59" i="1"/>
  <c r="I59" i="1"/>
  <c r="I62" i="1" s="1"/>
  <c r="J59" i="1"/>
  <c r="J62" i="1" s="1"/>
  <c r="K59" i="1"/>
  <c r="L59" i="1"/>
  <c r="M59" i="1"/>
  <c r="N59" i="1"/>
  <c r="O59" i="1"/>
  <c r="P59" i="1"/>
  <c r="Q59" i="1"/>
  <c r="C60" i="1"/>
  <c r="D60" i="1"/>
  <c r="E60" i="1"/>
  <c r="F60" i="1"/>
  <c r="G60" i="1"/>
  <c r="H60" i="1"/>
  <c r="I60" i="1"/>
  <c r="J60" i="1"/>
  <c r="K60" i="1"/>
  <c r="L60" i="1"/>
  <c r="M60" i="1"/>
  <c r="N60" i="1"/>
  <c r="O60" i="1"/>
  <c r="P60" i="1"/>
  <c r="Q60" i="1"/>
  <c r="C61" i="1"/>
  <c r="D61" i="1"/>
  <c r="E61" i="1"/>
  <c r="F61" i="1"/>
  <c r="G61" i="1"/>
  <c r="H61" i="1"/>
  <c r="I61" i="1"/>
  <c r="J61" i="1"/>
  <c r="K61" i="1"/>
  <c r="L61" i="1"/>
  <c r="M61" i="1"/>
  <c r="N61" i="1"/>
  <c r="O61" i="1"/>
  <c r="P61" i="1"/>
  <c r="Q61" i="1"/>
  <c r="B61" i="1"/>
  <c r="B60" i="1"/>
  <c r="B59" i="1"/>
  <c r="B116" i="16"/>
  <c r="B114" i="16"/>
  <c r="B115" i="16"/>
  <c r="B106" i="16"/>
  <c r="B110" i="16"/>
  <c r="B111" i="16" s="1"/>
  <c r="C37" i="20"/>
  <c r="D37" i="20"/>
  <c r="E37" i="20"/>
  <c r="F37" i="20"/>
  <c r="G37" i="20"/>
  <c r="H37" i="20"/>
  <c r="I37" i="20"/>
  <c r="J37" i="20"/>
  <c r="K37" i="20"/>
  <c r="L37" i="20"/>
  <c r="M37" i="20"/>
  <c r="N37" i="20"/>
  <c r="O37" i="20"/>
  <c r="P37" i="20"/>
  <c r="B37" i="20"/>
  <c r="C4" i="20"/>
  <c r="C6" i="20" s="1"/>
  <c r="D4" i="20"/>
  <c r="D6" i="20" s="1"/>
  <c r="E4" i="20"/>
  <c r="E6" i="20" s="1"/>
  <c r="F4" i="20"/>
  <c r="F6" i="20" s="1"/>
  <c r="G4" i="20"/>
  <c r="G6" i="20" s="1"/>
  <c r="H4" i="20"/>
  <c r="H6" i="20" s="1"/>
  <c r="I4" i="20"/>
  <c r="I6" i="20" s="1"/>
  <c r="J4" i="20"/>
  <c r="J6" i="20" s="1"/>
  <c r="K4" i="20"/>
  <c r="K6" i="20" s="1"/>
  <c r="L4" i="20"/>
  <c r="L6" i="20" s="1"/>
  <c r="M4" i="20"/>
  <c r="N4" i="20"/>
  <c r="N6" i="20" s="1"/>
  <c r="O4" i="20"/>
  <c r="O6" i="20" s="1"/>
  <c r="P4" i="20"/>
  <c r="P6" i="20" s="1"/>
  <c r="B4" i="20"/>
  <c r="B6" i="20" s="1"/>
  <c r="E14" i="20"/>
  <c r="F14" i="20"/>
  <c r="G14" i="20"/>
  <c r="H14" i="20"/>
  <c r="I14" i="20"/>
  <c r="J14" i="20"/>
  <c r="K14" i="20"/>
  <c r="D14" i="20"/>
  <c r="C14" i="20"/>
  <c r="B14" i="20"/>
  <c r="P34" i="20"/>
  <c r="O34" i="20"/>
  <c r="N34" i="20"/>
  <c r="M34" i="20"/>
  <c r="L34" i="20"/>
  <c r="K34" i="20"/>
  <c r="J34" i="20"/>
  <c r="I34" i="20"/>
  <c r="H34" i="20"/>
  <c r="G34" i="20"/>
  <c r="F34" i="20"/>
  <c r="E34" i="20"/>
  <c r="D34" i="20"/>
  <c r="C34" i="20"/>
  <c r="B34" i="20"/>
  <c r="C51" i="19"/>
  <c r="D51" i="19"/>
  <c r="E51" i="19"/>
  <c r="F51" i="19"/>
  <c r="G51" i="19"/>
  <c r="H51" i="19"/>
  <c r="I51" i="19"/>
  <c r="J51" i="19"/>
  <c r="K51" i="19"/>
  <c r="L51" i="19"/>
  <c r="M51" i="19"/>
  <c r="N51" i="19"/>
  <c r="O51" i="19"/>
  <c r="P51" i="19"/>
  <c r="Q51" i="19"/>
  <c r="B51" i="19"/>
  <c r="C49" i="19"/>
  <c r="D49" i="19"/>
  <c r="E49" i="19"/>
  <c r="F49" i="19"/>
  <c r="G49" i="19"/>
  <c r="H49" i="19"/>
  <c r="I49" i="19"/>
  <c r="J49" i="19"/>
  <c r="K49" i="19"/>
  <c r="L49" i="19"/>
  <c r="M49" i="19"/>
  <c r="N49" i="19"/>
  <c r="O49" i="19"/>
  <c r="P49" i="19"/>
  <c r="Q49" i="19"/>
  <c r="B49" i="19"/>
  <c r="C56" i="1"/>
  <c r="C47" i="19"/>
  <c r="D47" i="19"/>
  <c r="E47" i="19"/>
  <c r="F47" i="19"/>
  <c r="G47" i="19"/>
  <c r="H47" i="19"/>
  <c r="I47" i="19"/>
  <c r="J47" i="19"/>
  <c r="K47" i="19"/>
  <c r="L47" i="19"/>
  <c r="M47" i="19"/>
  <c r="N47" i="19"/>
  <c r="O47" i="19"/>
  <c r="P47" i="19"/>
  <c r="Q47" i="19"/>
  <c r="B47" i="19"/>
  <c r="C46" i="19"/>
  <c r="D46" i="19"/>
  <c r="E46" i="19"/>
  <c r="F46" i="19"/>
  <c r="G46" i="19"/>
  <c r="H46" i="19"/>
  <c r="I46" i="19"/>
  <c r="J46" i="19"/>
  <c r="K46" i="19"/>
  <c r="L46" i="19"/>
  <c r="M46" i="19"/>
  <c r="N46" i="19"/>
  <c r="O46" i="19"/>
  <c r="P46" i="19"/>
  <c r="Q46" i="19"/>
  <c r="B46" i="19"/>
  <c r="C45" i="19"/>
  <c r="D45" i="19"/>
  <c r="E45" i="19"/>
  <c r="F45" i="19"/>
  <c r="G45" i="19"/>
  <c r="H45" i="19"/>
  <c r="I45" i="19"/>
  <c r="J45" i="19"/>
  <c r="K45" i="19"/>
  <c r="L45" i="19"/>
  <c r="M45" i="19"/>
  <c r="N45" i="19"/>
  <c r="O45" i="19"/>
  <c r="P45" i="19"/>
  <c r="Q45" i="19"/>
  <c r="B45" i="19"/>
  <c r="Q12" i="19"/>
  <c r="Q16" i="19" s="1"/>
  <c r="Q24" i="19"/>
  <c r="Q35" i="19"/>
  <c r="Q41" i="19" s="1"/>
  <c r="Q42" i="19"/>
  <c r="P42" i="19"/>
  <c r="O42" i="19"/>
  <c r="N42" i="19"/>
  <c r="M42" i="19"/>
  <c r="L42" i="19"/>
  <c r="K42" i="19"/>
  <c r="J42" i="19"/>
  <c r="I42" i="19"/>
  <c r="H42" i="19"/>
  <c r="G42" i="19"/>
  <c r="F42" i="19"/>
  <c r="E42" i="19"/>
  <c r="D42" i="19"/>
  <c r="C42" i="19"/>
  <c r="B42" i="19"/>
  <c r="P35" i="19"/>
  <c r="P41" i="19" s="1"/>
  <c r="O35" i="19"/>
  <c r="O41" i="19" s="1"/>
  <c r="N35" i="19"/>
  <c r="M35" i="19"/>
  <c r="M41" i="19" s="1"/>
  <c r="L35" i="19"/>
  <c r="L41" i="19" s="1"/>
  <c r="K35" i="19"/>
  <c r="K41" i="19" s="1"/>
  <c r="J35" i="19"/>
  <c r="I35" i="19"/>
  <c r="I41" i="19" s="1"/>
  <c r="H35" i="19"/>
  <c r="H41" i="19" s="1"/>
  <c r="G35" i="19"/>
  <c r="G41" i="19" s="1"/>
  <c r="F35" i="19"/>
  <c r="E35" i="19"/>
  <c r="E41" i="19" s="1"/>
  <c r="D35" i="19"/>
  <c r="C35" i="19"/>
  <c r="B35" i="19"/>
  <c r="P24" i="19"/>
  <c r="O24" i="19"/>
  <c r="N24" i="19"/>
  <c r="M24" i="19"/>
  <c r="L24" i="19"/>
  <c r="K24" i="19"/>
  <c r="J24" i="19"/>
  <c r="I24" i="19"/>
  <c r="H24" i="19"/>
  <c r="G24" i="19"/>
  <c r="F24" i="19"/>
  <c r="E24" i="19"/>
  <c r="D24" i="19"/>
  <c r="C24" i="19"/>
  <c r="B24" i="19"/>
  <c r="P12" i="19"/>
  <c r="P16" i="19" s="1"/>
  <c r="O12" i="19"/>
  <c r="N12" i="19"/>
  <c r="N16" i="19" s="1"/>
  <c r="M12" i="19"/>
  <c r="L12" i="19"/>
  <c r="L16" i="19" s="1"/>
  <c r="K12" i="19"/>
  <c r="J12" i="19"/>
  <c r="I12" i="19"/>
  <c r="I16" i="19" s="1"/>
  <c r="H12" i="19"/>
  <c r="H16" i="19" s="1"/>
  <c r="G12" i="19"/>
  <c r="F12" i="19"/>
  <c r="E12" i="19"/>
  <c r="E16" i="19" s="1"/>
  <c r="D12" i="19"/>
  <c r="D16" i="19" s="1"/>
  <c r="C12" i="19"/>
  <c r="C16" i="19" s="1"/>
  <c r="B12" i="19"/>
  <c r="B16" i="19" s="1"/>
  <c r="C27" i="18"/>
  <c r="D27" i="18"/>
  <c r="E27" i="18"/>
  <c r="F27" i="18"/>
  <c r="G27" i="18"/>
  <c r="H27" i="18"/>
  <c r="I27" i="18"/>
  <c r="J27" i="18"/>
  <c r="K27" i="18"/>
  <c r="L27" i="18"/>
  <c r="M27" i="18"/>
  <c r="N27" i="18"/>
  <c r="O27" i="18"/>
  <c r="P27" i="18"/>
  <c r="Q27" i="18"/>
  <c r="R27" i="18"/>
  <c r="S27" i="18"/>
  <c r="B27" i="18"/>
  <c r="T17" i="18"/>
  <c r="Q7" i="18"/>
  <c r="Q10" i="18" s="1"/>
  <c r="R7" i="18"/>
  <c r="R10" i="18" s="1"/>
  <c r="S7" i="18"/>
  <c r="S20" i="18" s="1"/>
  <c r="T7" i="18"/>
  <c r="T20" i="18" s="1"/>
  <c r="S10" i="18"/>
  <c r="S13" i="18" s="1"/>
  <c r="T10" i="18"/>
  <c r="T21" i="18" s="1"/>
  <c r="Q20" i="18"/>
  <c r="R20" i="18"/>
  <c r="Q24" i="18"/>
  <c r="R24" i="18"/>
  <c r="S24" i="18"/>
  <c r="T24" i="18"/>
  <c r="P24" i="18"/>
  <c r="O24" i="18"/>
  <c r="N24" i="18"/>
  <c r="M24" i="18"/>
  <c r="L24" i="18"/>
  <c r="K24" i="18"/>
  <c r="J24" i="18"/>
  <c r="I24" i="18"/>
  <c r="H24" i="18"/>
  <c r="G24" i="18"/>
  <c r="F24" i="18"/>
  <c r="E24" i="18"/>
  <c r="D24" i="18"/>
  <c r="C24" i="18"/>
  <c r="B24" i="18"/>
  <c r="P7" i="18"/>
  <c r="P10" i="18" s="1"/>
  <c r="O7" i="18"/>
  <c r="O20" i="18" s="1"/>
  <c r="N7" i="18"/>
  <c r="N20" i="18" s="1"/>
  <c r="M7" i="18"/>
  <c r="M20" i="18" s="1"/>
  <c r="L7" i="18"/>
  <c r="L20" i="18" s="1"/>
  <c r="K7" i="18"/>
  <c r="K20" i="18" s="1"/>
  <c r="J7" i="18"/>
  <c r="J20" i="18" s="1"/>
  <c r="I7" i="18"/>
  <c r="I20" i="18" s="1"/>
  <c r="H7" i="18"/>
  <c r="H10" i="18" s="1"/>
  <c r="G7" i="18"/>
  <c r="G20" i="18" s="1"/>
  <c r="F7" i="18"/>
  <c r="F10" i="18" s="1"/>
  <c r="E7" i="18"/>
  <c r="E20" i="18" s="1"/>
  <c r="D7" i="18"/>
  <c r="D20" i="18" s="1"/>
  <c r="C7" i="18"/>
  <c r="C20" i="18" s="1"/>
  <c r="B7" i="18"/>
  <c r="B20" i="18" s="1"/>
  <c r="C110" i="16"/>
  <c r="D110" i="16"/>
  <c r="E110" i="16"/>
  <c r="F110" i="16"/>
  <c r="G110" i="16"/>
  <c r="H110" i="16"/>
  <c r="I110" i="16"/>
  <c r="J110" i="16"/>
  <c r="K110" i="16"/>
  <c r="L110" i="16"/>
  <c r="M110" i="16"/>
  <c r="N110" i="16"/>
  <c r="C106" i="16"/>
  <c r="D106" i="16"/>
  <c r="E106" i="16"/>
  <c r="F106" i="16"/>
  <c r="G106" i="16"/>
  <c r="H106" i="16"/>
  <c r="I106" i="16"/>
  <c r="J106" i="16"/>
  <c r="K106" i="16"/>
  <c r="L106" i="16"/>
  <c r="M106" i="16"/>
  <c r="N106" i="16"/>
  <c r="B96" i="16"/>
  <c r="C96" i="16"/>
  <c r="D96" i="16"/>
  <c r="K85" i="16"/>
  <c r="D90" i="16"/>
  <c r="E90" i="16"/>
  <c r="F90" i="16"/>
  <c r="G90" i="16"/>
  <c r="H90" i="16"/>
  <c r="I90" i="16"/>
  <c r="J90" i="16"/>
  <c r="C90" i="16"/>
  <c r="D86" i="16"/>
  <c r="E86" i="16"/>
  <c r="F86" i="16"/>
  <c r="G86" i="16"/>
  <c r="H86" i="16"/>
  <c r="I86" i="16"/>
  <c r="J86" i="16"/>
  <c r="C86" i="16"/>
  <c r="D82" i="16"/>
  <c r="E82" i="16"/>
  <c r="F82" i="16"/>
  <c r="G82" i="16"/>
  <c r="H82" i="16"/>
  <c r="I82" i="16"/>
  <c r="J82" i="16"/>
  <c r="C82" i="16"/>
  <c r="C73" i="16"/>
  <c r="C76" i="16" s="1"/>
  <c r="D73" i="16"/>
  <c r="D76" i="16" s="1"/>
  <c r="E73" i="16"/>
  <c r="E76" i="16" s="1"/>
  <c r="F73" i="16"/>
  <c r="F76" i="16" s="1"/>
  <c r="G73" i="16"/>
  <c r="G76" i="16" s="1"/>
  <c r="H73" i="16"/>
  <c r="H76" i="16" s="1"/>
  <c r="I73" i="16"/>
  <c r="I76" i="16" s="1"/>
  <c r="J73" i="16"/>
  <c r="J76" i="16" s="1"/>
  <c r="O56" i="10" l="1"/>
  <c r="I64" i="1"/>
  <c r="Q62" i="1"/>
  <c r="H62" i="1"/>
  <c r="F62" i="1"/>
  <c r="P62" i="1"/>
  <c r="O62" i="1"/>
  <c r="G62" i="1"/>
  <c r="B62" i="1"/>
  <c r="N62" i="1"/>
  <c r="L62" i="1"/>
  <c r="D62" i="1"/>
  <c r="K62" i="1"/>
  <c r="C62" i="1"/>
  <c r="M62" i="1"/>
  <c r="E62" i="1"/>
  <c r="B17" i="20"/>
  <c r="D18" i="20"/>
  <c r="K18" i="20"/>
  <c r="J18" i="20"/>
  <c r="I18" i="20"/>
  <c r="C18" i="20"/>
  <c r="J17" i="20"/>
  <c r="J19" i="20" s="1"/>
  <c r="I17" i="20"/>
  <c r="I19" i="20" s="1"/>
  <c r="H17" i="20"/>
  <c r="H18" i="20"/>
  <c r="F17" i="20"/>
  <c r="M6" i="20"/>
  <c r="F18" i="20"/>
  <c r="D17" i="20"/>
  <c r="D19" i="20" s="1"/>
  <c r="G17" i="20"/>
  <c r="G18" i="20"/>
  <c r="E17" i="20"/>
  <c r="B18" i="20"/>
  <c r="E18" i="20"/>
  <c r="K17" i="20"/>
  <c r="K19" i="20" s="1"/>
  <c r="C17" i="20"/>
  <c r="P36" i="19"/>
  <c r="P37" i="19" s="1"/>
  <c r="O36" i="19"/>
  <c r="N36" i="19"/>
  <c r="Q36" i="19"/>
  <c r="Q37" i="19" s="1"/>
  <c r="L36" i="19"/>
  <c r="K36" i="19"/>
  <c r="J52" i="19"/>
  <c r="M36" i="19"/>
  <c r="J36" i="19"/>
  <c r="H36" i="19"/>
  <c r="H37" i="19" s="1"/>
  <c r="G36" i="19"/>
  <c r="I36" i="19"/>
  <c r="I37" i="19" s="1"/>
  <c r="F36" i="19"/>
  <c r="B52" i="19"/>
  <c r="Q38" i="19"/>
  <c r="C36" i="19"/>
  <c r="C37" i="19" s="1"/>
  <c r="H43" i="19"/>
  <c r="P43" i="19"/>
  <c r="Q43" i="19"/>
  <c r="G38" i="19"/>
  <c r="B36" i="19"/>
  <c r="B37" i="19" s="1"/>
  <c r="K43" i="19"/>
  <c r="C52" i="19"/>
  <c r="K52" i="19"/>
  <c r="O38" i="19"/>
  <c r="D52" i="19"/>
  <c r="L52" i="19"/>
  <c r="E43" i="19"/>
  <c r="M43" i="19"/>
  <c r="E36" i="19"/>
  <c r="E37" i="19" s="1"/>
  <c r="G43" i="19"/>
  <c r="O43" i="19"/>
  <c r="L38" i="19"/>
  <c r="F38" i="19"/>
  <c r="P38" i="19"/>
  <c r="M38" i="19"/>
  <c r="N37" i="19"/>
  <c r="F52" i="19"/>
  <c r="N52" i="19"/>
  <c r="K38" i="19"/>
  <c r="D36" i="19"/>
  <c r="D37" i="19" s="1"/>
  <c r="H52" i="19"/>
  <c r="L37" i="19"/>
  <c r="D41" i="19"/>
  <c r="J38" i="19"/>
  <c r="D43" i="19"/>
  <c r="I43" i="19"/>
  <c r="L43" i="19"/>
  <c r="P52" i="19"/>
  <c r="E52" i="19"/>
  <c r="M52" i="19"/>
  <c r="D38" i="19"/>
  <c r="G52" i="19"/>
  <c r="O52" i="19"/>
  <c r="J16" i="19"/>
  <c r="H38" i="19"/>
  <c r="I38" i="19"/>
  <c r="I52" i="19"/>
  <c r="K16" i="19"/>
  <c r="B38" i="19"/>
  <c r="B41" i="19"/>
  <c r="B43" i="19" s="1"/>
  <c r="J41" i="19"/>
  <c r="J43" i="19" s="1"/>
  <c r="M16" i="19"/>
  <c r="C38" i="19"/>
  <c r="F16" i="19"/>
  <c r="G16" i="19"/>
  <c r="E38" i="19"/>
  <c r="C41" i="19"/>
  <c r="C43" i="19" s="1"/>
  <c r="N38" i="19"/>
  <c r="F41" i="19"/>
  <c r="F43" i="19" s="1"/>
  <c r="N41" i="19"/>
  <c r="N43" i="19" s="1"/>
  <c r="O16" i="19"/>
  <c r="S15" i="18"/>
  <c r="S26" i="18"/>
  <c r="R13" i="18"/>
  <c r="R21" i="18"/>
  <c r="Q13" i="18"/>
  <c r="Q21" i="18"/>
  <c r="T13" i="18"/>
  <c r="S21" i="18"/>
  <c r="J10" i="18"/>
  <c r="M10" i="18"/>
  <c r="M21" i="18" s="1"/>
  <c r="B10" i="18"/>
  <c r="E10" i="18"/>
  <c r="E13" i="18" s="1"/>
  <c r="E26" i="18" s="1"/>
  <c r="F21" i="18"/>
  <c r="F13" i="18"/>
  <c r="H13" i="18"/>
  <c r="H21" i="18"/>
  <c r="P21" i="18"/>
  <c r="P13" i="18"/>
  <c r="H20" i="18"/>
  <c r="P20" i="18"/>
  <c r="I10" i="18"/>
  <c r="C10" i="18"/>
  <c r="K10" i="18"/>
  <c r="D10" i="18"/>
  <c r="L10" i="18"/>
  <c r="N10" i="18"/>
  <c r="F20" i="18"/>
  <c r="G10" i="18"/>
  <c r="O10" i="18"/>
  <c r="N111" i="16"/>
  <c r="M111" i="16"/>
  <c r="L111" i="16"/>
  <c r="K111" i="16"/>
  <c r="J111" i="16"/>
  <c r="I111" i="16"/>
  <c r="H111" i="16"/>
  <c r="G111" i="16"/>
  <c r="F111" i="16"/>
  <c r="E111" i="16"/>
  <c r="D111" i="16"/>
  <c r="C111" i="16"/>
  <c r="J78" i="16"/>
  <c r="G78" i="16"/>
  <c r="J77" i="16"/>
  <c r="D78" i="16"/>
  <c r="G77" i="16"/>
  <c r="D77" i="16"/>
  <c r="I78" i="16"/>
  <c r="I77" i="16"/>
  <c r="H78" i="16"/>
  <c r="H77" i="16"/>
  <c r="F78" i="16"/>
  <c r="F77" i="16"/>
  <c r="E78" i="16"/>
  <c r="E77" i="16"/>
  <c r="E79" i="16" s="1"/>
  <c r="C78" i="16"/>
  <c r="C77" i="16"/>
  <c r="B60" i="16"/>
  <c r="B63" i="16" s="1"/>
  <c r="C60" i="16"/>
  <c r="C63" i="16" s="1"/>
  <c r="D60" i="16"/>
  <c r="D64" i="16" s="1"/>
  <c r="E60" i="16"/>
  <c r="E64" i="16" s="1"/>
  <c r="F60" i="16"/>
  <c r="F64" i="16" s="1"/>
  <c r="G60" i="16"/>
  <c r="G64" i="16" s="1"/>
  <c r="B49" i="16"/>
  <c r="C49" i="16"/>
  <c r="D49" i="16"/>
  <c r="E49" i="16"/>
  <c r="F49" i="16"/>
  <c r="G49" i="16"/>
  <c r="B47" i="16"/>
  <c r="C47" i="16"/>
  <c r="D47" i="16"/>
  <c r="E47" i="16"/>
  <c r="F47" i="16"/>
  <c r="G47" i="16"/>
  <c r="B29" i="16"/>
  <c r="C29" i="16"/>
  <c r="C116" i="16" s="1"/>
  <c r="D29" i="16"/>
  <c r="E29" i="16"/>
  <c r="F29" i="16"/>
  <c r="G29" i="16"/>
  <c r="B21" i="16"/>
  <c r="B12" i="16"/>
  <c r="Q12" i="16"/>
  <c r="Q22" i="16" s="1"/>
  <c r="L12" i="16"/>
  <c r="L22" i="16" s="1"/>
  <c r="M12" i="16"/>
  <c r="M22" i="16" s="1"/>
  <c r="N12" i="16"/>
  <c r="N22" i="16" s="1"/>
  <c r="O12" i="16"/>
  <c r="O22" i="16" s="1"/>
  <c r="J9" i="16"/>
  <c r="J7" i="16"/>
  <c r="I9" i="16"/>
  <c r="I7" i="16"/>
  <c r="H9" i="16"/>
  <c r="H7" i="16"/>
  <c r="C21" i="16"/>
  <c r="C85" i="16" s="1"/>
  <c r="D21" i="16"/>
  <c r="D85" i="16" s="1"/>
  <c r="E21" i="16"/>
  <c r="E85" i="16" s="1"/>
  <c r="G21" i="16"/>
  <c r="G85" i="16" s="1"/>
  <c r="H21" i="16"/>
  <c r="H85" i="16" s="1"/>
  <c r="I21" i="16"/>
  <c r="I85" i="16" s="1"/>
  <c r="J21" i="16"/>
  <c r="J85" i="16" s="1"/>
  <c r="C12" i="16"/>
  <c r="C81" i="16" s="1"/>
  <c r="D12" i="16"/>
  <c r="D81" i="16" s="1"/>
  <c r="E12" i="16"/>
  <c r="E81" i="16" s="1"/>
  <c r="P12" i="16"/>
  <c r="P22" i="16" s="1"/>
  <c r="G10" i="16"/>
  <c r="G9" i="16"/>
  <c r="G7" i="16"/>
  <c r="F16" i="16"/>
  <c r="F21" i="16" s="1"/>
  <c r="F85" i="16" s="1"/>
  <c r="F7" i="16"/>
  <c r="F12" i="16" s="1"/>
  <c r="F81" i="16" s="1"/>
  <c r="H64" i="1" l="1"/>
  <c r="O64" i="1"/>
  <c r="N64" i="1"/>
  <c r="P64" i="1"/>
  <c r="E64" i="1"/>
  <c r="G64" i="1"/>
  <c r="M64" i="1"/>
  <c r="C64" i="1"/>
  <c r="F64" i="1"/>
  <c r="K64" i="1"/>
  <c r="J64" i="1"/>
  <c r="D64" i="1"/>
  <c r="L64" i="1"/>
  <c r="B64" i="1"/>
  <c r="B19" i="20"/>
  <c r="C19" i="20"/>
  <c r="F19" i="20"/>
  <c r="H19" i="20"/>
  <c r="E19" i="20"/>
  <c r="G19" i="20"/>
  <c r="J37" i="19"/>
  <c r="K37" i="19"/>
  <c r="M37" i="19"/>
  <c r="F37" i="19"/>
  <c r="G37" i="19"/>
  <c r="O37" i="19"/>
  <c r="Q15" i="18"/>
  <c r="Q26" i="18"/>
  <c r="R15" i="18"/>
  <c r="R26" i="18"/>
  <c r="T26" i="18"/>
  <c r="T15" i="18"/>
  <c r="S18" i="18"/>
  <c r="S22" i="18"/>
  <c r="M13" i="18"/>
  <c r="E15" i="18"/>
  <c r="E18" i="18" s="1"/>
  <c r="B21" i="18"/>
  <c r="B13" i="18"/>
  <c r="E21" i="18"/>
  <c r="J21" i="18"/>
  <c r="J13" i="18"/>
  <c r="L21" i="18"/>
  <c r="L13" i="18"/>
  <c r="D21" i="18"/>
  <c r="D13" i="18"/>
  <c r="H15" i="18"/>
  <c r="H26" i="18"/>
  <c r="K21" i="18"/>
  <c r="K13" i="18"/>
  <c r="O21" i="18"/>
  <c r="O13" i="18"/>
  <c r="C13" i="18"/>
  <c r="C21" i="18"/>
  <c r="G21" i="18"/>
  <c r="G13" i="18"/>
  <c r="I21" i="18"/>
  <c r="I13" i="18"/>
  <c r="M15" i="18"/>
  <c r="M26" i="18"/>
  <c r="E22" i="18"/>
  <c r="N21" i="18"/>
  <c r="N13" i="18"/>
  <c r="P15" i="18"/>
  <c r="P26" i="18"/>
  <c r="F15" i="18"/>
  <c r="F26" i="18"/>
  <c r="G115" i="16"/>
  <c r="G116" i="16"/>
  <c r="F115" i="16"/>
  <c r="F116" i="16"/>
  <c r="E115" i="16"/>
  <c r="E116" i="16"/>
  <c r="D115" i="16"/>
  <c r="D116" i="16"/>
  <c r="C114" i="16"/>
  <c r="C115" i="16"/>
  <c r="G31" i="16"/>
  <c r="G114" i="16"/>
  <c r="F31" i="16"/>
  <c r="F114" i="16"/>
  <c r="E31" i="16"/>
  <c r="E114" i="16"/>
  <c r="D114" i="16"/>
  <c r="F89" i="16"/>
  <c r="G79" i="16"/>
  <c r="E89" i="16"/>
  <c r="F79" i="16"/>
  <c r="D79" i="16"/>
  <c r="H79" i="16"/>
  <c r="D31" i="16"/>
  <c r="D99" i="16"/>
  <c r="D100" i="16"/>
  <c r="C31" i="16"/>
  <c r="C99" i="16"/>
  <c r="C100" i="16"/>
  <c r="B31" i="16"/>
  <c r="B99" i="16"/>
  <c r="B100" i="16"/>
  <c r="J79" i="16"/>
  <c r="D89" i="16"/>
  <c r="C89" i="16"/>
  <c r="C79" i="16"/>
  <c r="I79" i="16"/>
  <c r="H12" i="16"/>
  <c r="H81" i="16" s="1"/>
  <c r="H89" i="16" s="1"/>
  <c r="C64" i="16"/>
  <c r="B64" i="16"/>
  <c r="F22" i="16"/>
  <c r="B66" i="16"/>
  <c r="G66" i="16"/>
  <c r="F66" i="16"/>
  <c r="E66" i="16"/>
  <c r="F63" i="16"/>
  <c r="E63" i="16"/>
  <c r="C66" i="16"/>
  <c r="D63" i="16"/>
  <c r="G63" i="16"/>
  <c r="D66" i="16"/>
  <c r="I12" i="16"/>
  <c r="E22" i="16"/>
  <c r="B22" i="16"/>
  <c r="D22" i="16"/>
  <c r="J12" i="16"/>
  <c r="K12" i="16"/>
  <c r="C22" i="16"/>
  <c r="G12" i="16"/>
  <c r="D56" i="1"/>
  <c r="E56" i="1"/>
  <c r="F56" i="1"/>
  <c r="G56" i="1"/>
  <c r="H56" i="1"/>
  <c r="I56" i="1"/>
  <c r="J56" i="1"/>
  <c r="K56" i="1"/>
  <c r="L56" i="1"/>
  <c r="M56" i="1"/>
  <c r="N56" i="1"/>
  <c r="O56" i="1"/>
  <c r="P56" i="1"/>
  <c r="Q56" i="1"/>
  <c r="D52" i="1"/>
  <c r="E52" i="1"/>
  <c r="F52" i="1"/>
  <c r="G52" i="1"/>
  <c r="H52" i="1"/>
  <c r="I52" i="1"/>
  <c r="J52" i="1"/>
  <c r="K52" i="1"/>
  <c r="L52" i="1"/>
  <c r="M52" i="1"/>
  <c r="N52" i="1"/>
  <c r="O52" i="1"/>
  <c r="P52" i="1"/>
  <c r="Q52" i="1"/>
  <c r="C52" i="1"/>
  <c r="B52" i="1"/>
  <c r="C49" i="1"/>
  <c r="D49" i="1"/>
  <c r="E49" i="1"/>
  <c r="F49" i="1"/>
  <c r="G49" i="1"/>
  <c r="H49" i="1"/>
  <c r="I49" i="1"/>
  <c r="J49" i="1"/>
  <c r="K49" i="1"/>
  <c r="L49" i="1"/>
  <c r="M49" i="1"/>
  <c r="N49" i="1"/>
  <c r="O49" i="1"/>
  <c r="P49" i="1"/>
  <c r="Q49" i="1"/>
  <c r="B49" i="1"/>
  <c r="E27" i="9"/>
  <c r="F27" i="9"/>
  <c r="G27" i="9"/>
  <c r="H27" i="9"/>
  <c r="I27" i="9"/>
  <c r="J27" i="9"/>
  <c r="K27" i="9"/>
  <c r="L27" i="9"/>
  <c r="M27" i="9"/>
  <c r="N27" i="9"/>
  <c r="O27" i="9"/>
  <c r="P27" i="9"/>
  <c r="Q27" i="9"/>
  <c r="R27" i="9"/>
  <c r="S27" i="9"/>
  <c r="D27" i="9"/>
  <c r="B27" i="9"/>
  <c r="E32" i="9"/>
  <c r="E33" i="9" s="1"/>
  <c r="F32" i="9"/>
  <c r="F33" i="9" s="1"/>
  <c r="G32" i="9"/>
  <c r="G33" i="9" s="1"/>
  <c r="H32" i="9"/>
  <c r="H33" i="9" s="1"/>
  <c r="I32" i="9"/>
  <c r="I33" i="9" s="1"/>
  <c r="J32" i="9"/>
  <c r="J33" i="9" s="1"/>
  <c r="K32" i="9"/>
  <c r="K33" i="9" s="1"/>
  <c r="L32" i="9"/>
  <c r="L33" i="9" s="1"/>
  <c r="M32" i="9"/>
  <c r="M33" i="9" s="1"/>
  <c r="N32" i="9"/>
  <c r="N33" i="9" s="1"/>
  <c r="O32" i="9"/>
  <c r="O33" i="9" s="1"/>
  <c r="P32" i="9"/>
  <c r="P33" i="9" s="1"/>
  <c r="Q32" i="9"/>
  <c r="Q33" i="9" s="1"/>
  <c r="R32" i="9"/>
  <c r="R33" i="9" s="1"/>
  <c r="E29" i="9"/>
  <c r="E30" i="9" s="1"/>
  <c r="F29" i="9"/>
  <c r="F30" i="9" s="1"/>
  <c r="G29" i="9"/>
  <c r="G30" i="9" s="1"/>
  <c r="H29" i="9"/>
  <c r="H30" i="9" s="1"/>
  <c r="I29" i="9"/>
  <c r="I30" i="9" s="1"/>
  <c r="J29" i="9"/>
  <c r="J30" i="9" s="1"/>
  <c r="K29" i="9"/>
  <c r="K30" i="9" s="1"/>
  <c r="L29" i="9"/>
  <c r="L30" i="9" s="1"/>
  <c r="M29" i="9"/>
  <c r="M30" i="9" s="1"/>
  <c r="N29" i="9"/>
  <c r="N30" i="9" s="1"/>
  <c r="O29" i="9"/>
  <c r="O30" i="9" s="1"/>
  <c r="P29" i="9"/>
  <c r="P30" i="9" s="1"/>
  <c r="Q29" i="9"/>
  <c r="Q30" i="9" s="1"/>
  <c r="R29" i="9"/>
  <c r="R30" i="9" s="1"/>
  <c r="D32" i="9"/>
  <c r="D33" i="9" s="1"/>
  <c r="D29" i="9"/>
  <c r="D30" i="9" s="1"/>
  <c r="B32" i="9"/>
  <c r="B33" i="9" s="1"/>
  <c r="B29" i="9"/>
  <c r="B30" i="9" s="1"/>
  <c r="B38" i="10"/>
  <c r="B30" i="10"/>
  <c r="B23" i="10"/>
  <c r="C54" i="10"/>
  <c r="C56" i="10" s="1"/>
  <c r="C59" i="10" s="1"/>
  <c r="C38" i="10"/>
  <c r="C30" i="10"/>
  <c r="C23" i="10"/>
  <c r="C47" i="10" s="1"/>
  <c r="C58" i="10" s="1"/>
  <c r="D54" i="10"/>
  <c r="D56" i="10" s="1"/>
  <c r="D59" i="10" s="1"/>
  <c r="D38" i="10"/>
  <c r="D30" i="10"/>
  <c r="D23" i="10"/>
  <c r="E54" i="10"/>
  <c r="E56" i="10" s="1"/>
  <c r="E59" i="10" s="1"/>
  <c r="E38" i="10"/>
  <c r="E30" i="10"/>
  <c r="E23" i="10"/>
  <c r="F54" i="10"/>
  <c r="F56" i="10" s="1"/>
  <c r="F59" i="10" s="1"/>
  <c r="F38" i="10"/>
  <c r="F30" i="10"/>
  <c r="F23" i="10"/>
  <c r="G54" i="10"/>
  <c r="G56" i="10" s="1"/>
  <c r="G59" i="10" s="1"/>
  <c r="G60" i="10" s="1"/>
  <c r="G62" i="10" s="1"/>
  <c r="G38" i="10"/>
  <c r="G30" i="10"/>
  <c r="G23" i="10"/>
  <c r="G47" i="10" s="1"/>
  <c r="G58" i="10" s="1"/>
  <c r="C60" i="10" l="1"/>
  <c r="C62" i="10" s="1"/>
  <c r="B47" i="10"/>
  <c r="F47" i="10"/>
  <c r="D47" i="10"/>
  <c r="E47" i="10"/>
  <c r="C40" i="10"/>
  <c r="C42" i="10" s="1"/>
  <c r="T22" i="18"/>
  <c r="T18" i="18"/>
  <c r="R18" i="18"/>
  <c r="R22" i="18"/>
  <c r="Q18" i="18"/>
  <c r="Q22" i="18"/>
  <c r="J26" i="18"/>
  <c r="J15" i="18"/>
  <c r="B26" i="18"/>
  <c r="B15" i="18"/>
  <c r="K26" i="18"/>
  <c r="K15" i="18"/>
  <c r="P22" i="18"/>
  <c r="P18" i="18"/>
  <c r="C26" i="18"/>
  <c r="C15" i="18"/>
  <c r="H22" i="18"/>
  <c r="H18" i="18"/>
  <c r="M22" i="18"/>
  <c r="M18" i="18"/>
  <c r="N15" i="18"/>
  <c r="N26" i="18"/>
  <c r="O15" i="18"/>
  <c r="O26" i="18"/>
  <c r="D15" i="18"/>
  <c r="D26" i="18"/>
  <c r="I15" i="18"/>
  <c r="I26" i="18"/>
  <c r="F22" i="18"/>
  <c r="F18" i="18"/>
  <c r="G15" i="18"/>
  <c r="G26" i="18"/>
  <c r="L15" i="18"/>
  <c r="L26" i="18"/>
  <c r="E91" i="16"/>
  <c r="D91" i="16"/>
  <c r="B101" i="16"/>
  <c r="C101" i="16"/>
  <c r="D101" i="16"/>
  <c r="C67" i="16"/>
  <c r="H22" i="16"/>
  <c r="C91" i="16"/>
  <c r="K22" i="16"/>
  <c r="K81" i="16"/>
  <c r="K89" i="16" s="1"/>
  <c r="J22" i="16"/>
  <c r="J81" i="16"/>
  <c r="J89" i="16" s="1"/>
  <c r="G22" i="16"/>
  <c r="G81" i="16"/>
  <c r="G89" i="16" s="1"/>
  <c r="I22" i="16"/>
  <c r="I81" i="16"/>
  <c r="I89" i="16" s="1"/>
  <c r="B67" i="16"/>
  <c r="D67" i="16"/>
  <c r="E67" i="16"/>
  <c r="F67" i="16"/>
  <c r="G67" i="16"/>
  <c r="E40" i="10"/>
  <c r="E42" i="10" s="1"/>
  <c r="F40" i="10"/>
  <c r="F42" i="10" s="1"/>
  <c r="D40" i="10"/>
  <c r="D42" i="10" s="1"/>
  <c r="B40" i="10"/>
  <c r="B42" i="10" s="1"/>
  <c r="G40" i="10"/>
  <c r="G42" i="10" s="1"/>
  <c r="T17" i="9"/>
  <c r="S17" i="9"/>
  <c r="R17" i="9"/>
  <c r="Q17" i="9"/>
  <c r="P17" i="9"/>
  <c r="O17" i="9"/>
  <c r="N17" i="9"/>
  <c r="M17" i="9"/>
  <c r="L17" i="9"/>
  <c r="K17" i="9"/>
  <c r="J17" i="9"/>
  <c r="I17" i="9"/>
  <c r="B24" i="9"/>
  <c r="B7" i="9"/>
  <c r="B20" i="9" s="1"/>
  <c r="C24" i="9"/>
  <c r="C7" i="9"/>
  <c r="C20" i="9" s="1"/>
  <c r="D24" i="9"/>
  <c r="D7" i="9"/>
  <c r="D20" i="9" s="1"/>
  <c r="E24" i="9"/>
  <c r="E7" i="9"/>
  <c r="E20" i="9" s="1"/>
  <c r="F24" i="9"/>
  <c r="F7" i="9"/>
  <c r="F20" i="9" s="1"/>
  <c r="G24" i="9"/>
  <c r="G7" i="9"/>
  <c r="G20" i="9" s="1"/>
  <c r="H24" i="9"/>
  <c r="H7" i="9"/>
  <c r="H20" i="9" s="1"/>
  <c r="C43" i="1"/>
  <c r="D43" i="1"/>
  <c r="E43" i="1"/>
  <c r="B43" i="1"/>
  <c r="Q40" i="1"/>
  <c r="P40" i="1"/>
  <c r="P43" i="1" s="1"/>
  <c r="O40" i="1"/>
  <c r="N40" i="1"/>
  <c r="M40" i="1"/>
  <c r="L40" i="1"/>
  <c r="K40" i="1"/>
  <c r="J40" i="1"/>
  <c r="I40" i="1"/>
  <c r="H40" i="1"/>
  <c r="H43" i="1" s="1"/>
  <c r="G40" i="1"/>
  <c r="F43" i="1" s="1"/>
  <c r="B37" i="1"/>
  <c r="B26" i="1"/>
  <c r="B13" i="1"/>
  <c r="C37" i="1"/>
  <c r="C26" i="1"/>
  <c r="C13" i="1"/>
  <c r="C18" i="1" s="1"/>
  <c r="C65" i="1" s="1"/>
  <c r="D37" i="1"/>
  <c r="D26" i="1"/>
  <c r="D13" i="1"/>
  <c r="D18" i="1" s="1"/>
  <c r="D65" i="1" s="1"/>
  <c r="E37" i="1"/>
  <c r="E26" i="1"/>
  <c r="E13" i="1"/>
  <c r="E18" i="1" s="1"/>
  <c r="E65" i="1" s="1"/>
  <c r="F37" i="1"/>
  <c r="F26" i="1"/>
  <c r="F13" i="1"/>
  <c r="F18" i="1" s="1"/>
  <c r="F65" i="1" s="1"/>
  <c r="G37" i="1"/>
  <c r="G26" i="1"/>
  <c r="G13" i="1"/>
  <c r="G18" i="1" s="1"/>
  <c r="G65" i="1" s="1"/>
  <c r="B58" i="10" l="1"/>
  <c r="D58" i="10"/>
  <c r="D60" i="10" s="1"/>
  <c r="D62" i="10" s="1"/>
  <c r="E58" i="10"/>
  <c r="E60" i="10" s="1"/>
  <c r="E62" i="10" s="1"/>
  <c r="F58" i="10"/>
  <c r="F60" i="10" s="1"/>
  <c r="F62" i="10" s="1"/>
  <c r="I43" i="1"/>
  <c r="B22" i="18"/>
  <c r="B18" i="18"/>
  <c r="J18" i="18"/>
  <c r="J22" i="18"/>
  <c r="D22" i="18"/>
  <c r="D18" i="18"/>
  <c r="G22" i="18"/>
  <c r="G18" i="18"/>
  <c r="C22" i="18"/>
  <c r="C18" i="18"/>
  <c r="L22" i="18"/>
  <c r="L18" i="18"/>
  <c r="N22" i="18"/>
  <c r="N18" i="18"/>
  <c r="O22" i="18"/>
  <c r="O18" i="18"/>
  <c r="K22" i="18"/>
  <c r="K18" i="18"/>
  <c r="I22" i="18"/>
  <c r="I18" i="18"/>
  <c r="L43" i="1"/>
  <c r="J91" i="16"/>
  <c r="G91" i="16"/>
  <c r="F91" i="16"/>
  <c r="I91" i="16"/>
  <c r="H91" i="16"/>
  <c r="C38" i="1"/>
  <c r="C39" i="1" s="1"/>
  <c r="B45" i="1"/>
  <c r="M43" i="1"/>
  <c r="N43" i="1"/>
  <c r="D41" i="1"/>
  <c r="D48" i="1"/>
  <c r="D67" i="1" s="1"/>
  <c r="O43" i="1"/>
  <c r="E45" i="1"/>
  <c r="F41" i="1"/>
  <c r="F48" i="1"/>
  <c r="F67" i="1" s="1"/>
  <c r="C41" i="1"/>
  <c r="C48" i="1"/>
  <c r="C67" i="1" s="1"/>
  <c r="J43" i="1"/>
  <c r="E41" i="1"/>
  <c r="E48" i="1"/>
  <c r="E67" i="1" s="1"/>
  <c r="B41" i="1"/>
  <c r="B48" i="1"/>
  <c r="B67" i="1" s="1"/>
  <c r="G43" i="1"/>
  <c r="G45" i="1"/>
  <c r="G41" i="1"/>
  <c r="G48" i="1"/>
  <c r="G67" i="1" s="1"/>
  <c r="D38" i="1"/>
  <c r="D39" i="1" s="1"/>
  <c r="B38" i="1"/>
  <c r="F45" i="1"/>
  <c r="D45" i="1"/>
  <c r="K43" i="1"/>
  <c r="C45" i="1"/>
  <c r="B10" i="9"/>
  <c r="C10" i="9"/>
  <c r="D10" i="9"/>
  <c r="E10" i="9"/>
  <c r="F10" i="9"/>
  <c r="G10" i="9"/>
  <c r="H10" i="9"/>
  <c r="G38" i="1"/>
  <c r="G39" i="1" s="1"/>
  <c r="F38" i="1"/>
  <c r="F39" i="1" s="1"/>
  <c r="E38" i="1"/>
  <c r="E39" i="1" s="1"/>
  <c r="B18" i="1"/>
  <c r="B65" i="1" s="1"/>
  <c r="Q60" i="16"/>
  <c r="I60" i="16"/>
  <c r="J60" i="16"/>
  <c r="K60" i="16"/>
  <c r="L60" i="16"/>
  <c r="M60" i="16"/>
  <c r="N60" i="16"/>
  <c r="O60" i="16"/>
  <c r="P60" i="16"/>
  <c r="H60" i="16"/>
  <c r="I47" i="16"/>
  <c r="J47" i="16"/>
  <c r="K47" i="16"/>
  <c r="L47" i="16"/>
  <c r="M47" i="16"/>
  <c r="N47" i="16"/>
  <c r="O47" i="16"/>
  <c r="P47" i="16"/>
  <c r="Q47" i="16"/>
  <c r="H47" i="16"/>
  <c r="I29" i="16"/>
  <c r="J29" i="16"/>
  <c r="K29" i="16"/>
  <c r="L29" i="16"/>
  <c r="M29" i="16"/>
  <c r="N29" i="16"/>
  <c r="O29" i="16"/>
  <c r="O31" i="16" s="1"/>
  <c r="P29" i="16"/>
  <c r="P31" i="16" s="1"/>
  <c r="Q29" i="16"/>
  <c r="Q31" i="16" s="1"/>
  <c r="H29" i="16"/>
  <c r="I54" i="10"/>
  <c r="I56" i="10" s="1"/>
  <c r="I59" i="10" s="1"/>
  <c r="J54" i="10"/>
  <c r="J56" i="10" s="1"/>
  <c r="J59" i="10" s="1"/>
  <c r="K54" i="10"/>
  <c r="K56" i="10" s="1"/>
  <c r="K59" i="10" s="1"/>
  <c r="L54" i="10"/>
  <c r="L56" i="10" s="1"/>
  <c r="L59" i="10" s="1"/>
  <c r="M54" i="10"/>
  <c r="M56" i="10" s="1"/>
  <c r="M59" i="10" s="1"/>
  <c r="N56" i="10"/>
  <c r="N59" i="10" s="1"/>
  <c r="H54" i="10"/>
  <c r="H56" i="10" s="1"/>
  <c r="H59" i="10" s="1"/>
  <c r="I38" i="10"/>
  <c r="J38" i="10"/>
  <c r="K38" i="10"/>
  <c r="L38" i="10"/>
  <c r="M38" i="10"/>
  <c r="N38" i="10"/>
  <c r="O38" i="10"/>
  <c r="P38" i="10"/>
  <c r="Q38" i="10"/>
  <c r="H38" i="10"/>
  <c r="I30" i="10"/>
  <c r="J30" i="10"/>
  <c r="K30" i="10"/>
  <c r="L30" i="10"/>
  <c r="M30" i="10"/>
  <c r="N30" i="10"/>
  <c r="O30" i="10"/>
  <c r="P30" i="10"/>
  <c r="Q30" i="10"/>
  <c r="H30" i="10"/>
  <c r="I23" i="10"/>
  <c r="I47" i="10" s="1"/>
  <c r="I58" i="10" s="1"/>
  <c r="J23" i="10"/>
  <c r="J47" i="10" s="1"/>
  <c r="J58" i="10" s="1"/>
  <c r="K23" i="10"/>
  <c r="K47" i="10" s="1"/>
  <c r="K58" i="10" s="1"/>
  <c r="L23" i="10"/>
  <c r="L47" i="10" s="1"/>
  <c r="M23" i="10"/>
  <c r="M47" i="10" s="1"/>
  <c r="M58" i="10" s="1"/>
  <c r="N23" i="10"/>
  <c r="N47" i="10" s="1"/>
  <c r="O23" i="10"/>
  <c r="P23" i="10"/>
  <c r="Q23" i="10"/>
  <c r="H23" i="10"/>
  <c r="H47" i="10" s="1"/>
  <c r="H58" i="10" s="1"/>
  <c r="J24" i="9"/>
  <c r="K24" i="9"/>
  <c r="L24" i="9"/>
  <c r="M24" i="9"/>
  <c r="N24" i="9"/>
  <c r="O24" i="9"/>
  <c r="P24" i="9"/>
  <c r="Q24" i="9"/>
  <c r="R24" i="9"/>
  <c r="S24" i="9"/>
  <c r="T24" i="9"/>
  <c r="I24" i="9"/>
  <c r="S7" i="9"/>
  <c r="S10" i="9" s="1"/>
  <c r="T7" i="9"/>
  <c r="T10" i="9" s="1"/>
  <c r="T21" i="9" s="1"/>
  <c r="J7" i="9"/>
  <c r="J10" i="9" s="1"/>
  <c r="J13" i="9" s="1"/>
  <c r="K7" i="9"/>
  <c r="K10" i="9" s="1"/>
  <c r="K13" i="9" s="1"/>
  <c r="L7" i="9"/>
  <c r="L10" i="9" s="1"/>
  <c r="L13" i="9" s="1"/>
  <c r="M7" i="9"/>
  <c r="M10" i="9" s="1"/>
  <c r="M13" i="9" s="1"/>
  <c r="N7" i="9"/>
  <c r="N10" i="9" s="1"/>
  <c r="N13" i="9" s="1"/>
  <c r="O7" i="9"/>
  <c r="O10" i="9" s="1"/>
  <c r="P7" i="9"/>
  <c r="P10" i="9" s="1"/>
  <c r="P13" i="9" s="1"/>
  <c r="Q7" i="9"/>
  <c r="Q10" i="9" s="1"/>
  <c r="Q13" i="9" s="1"/>
  <c r="R7" i="9"/>
  <c r="R10" i="9" s="1"/>
  <c r="R13" i="9" s="1"/>
  <c r="I7" i="9"/>
  <c r="I10" i="9" s="1"/>
  <c r="I13" i="9" s="1"/>
  <c r="I26" i="1"/>
  <c r="J26" i="1"/>
  <c r="K26" i="1"/>
  <c r="L26" i="1"/>
  <c r="M26" i="1"/>
  <c r="N26" i="1"/>
  <c r="O26" i="1"/>
  <c r="P26" i="1"/>
  <c r="Q26" i="1"/>
  <c r="H26" i="1"/>
  <c r="I37" i="1"/>
  <c r="J37" i="1"/>
  <c r="K37" i="1"/>
  <c r="L37" i="1"/>
  <c r="M37" i="1"/>
  <c r="N37" i="1"/>
  <c r="O37" i="1"/>
  <c r="O48" i="1" s="1"/>
  <c r="O67" i="1" s="1"/>
  <c r="P37" i="1"/>
  <c r="P48" i="1" s="1"/>
  <c r="P67" i="1" s="1"/>
  <c r="Q37" i="1"/>
  <c r="Q48" i="1" s="1"/>
  <c r="Q67" i="1" s="1"/>
  <c r="H37" i="1"/>
  <c r="I13" i="1"/>
  <c r="J13" i="1"/>
  <c r="K13" i="1"/>
  <c r="L13" i="1"/>
  <c r="M13" i="1"/>
  <c r="N13" i="1"/>
  <c r="O13" i="1"/>
  <c r="P13" i="1"/>
  <c r="Q13" i="1"/>
  <c r="H13" i="1"/>
  <c r="J60" i="10" l="1"/>
  <c r="J62" i="10" s="1"/>
  <c r="I60" i="10"/>
  <c r="I62" i="10" s="1"/>
  <c r="M60" i="10"/>
  <c r="M62" i="10" s="1"/>
  <c r="N58" i="10"/>
  <c r="N60" i="10" s="1"/>
  <c r="N62" i="10" s="1"/>
  <c r="K60" i="10"/>
  <c r="K62" i="10" s="1"/>
  <c r="B60" i="10"/>
  <c r="L58" i="10"/>
  <c r="L60" i="10" s="1"/>
  <c r="H60" i="10"/>
  <c r="H62" i="10" s="1"/>
  <c r="O59" i="10"/>
  <c r="N115" i="16"/>
  <c r="N116" i="16"/>
  <c r="M115" i="16"/>
  <c r="M116" i="16"/>
  <c r="L115" i="16"/>
  <c r="L116" i="16"/>
  <c r="K115" i="16"/>
  <c r="K116" i="16"/>
  <c r="H115" i="16"/>
  <c r="H116" i="16"/>
  <c r="J115" i="16"/>
  <c r="J116" i="16"/>
  <c r="I115" i="16"/>
  <c r="I116" i="16"/>
  <c r="M31" i="16"/>
  <c r="M114" i="16"/>
  <c r="L31" i="16"/>
  <c r="L114" i="16"/>
  <c r="K31" i="16"/>
  <c r="K114" i="16"/>
  <c r="H31" i="16"/>
  <c r="H114" i="16"/>
  <c r="J31" i="16"/>
  <c r="J114" i="16"/>
  <c r="N31" i="16"/>
  <c r="N114" i="16"/>
  <c r="I31" i="16"/>
  <c r="I114" i="16"/>
  <c r="O66" i="16"/>
  <c r="O63" i="16"/>
  <c r="O65" i="16"/>
  <c r="N65" i="16"/>
  <c r="N66" i="16"/>
  <c r="N63" i="16"/>
  <c r="M65" i="16"/>
  <c r="M66" i="16"/>
  <c r="M63" i="16"/>
  <c r="L65" i="16"/>
  <c r="L66" i="16"/>
  <c r="L63" i="16"/>
  <c r="K65" i="16"/>
  <c r="K66" i="16"/>
  <c r="K63" i="16"/>
  <c r="J66" i="16"/>
  <c r="J63" i="16"/>
  <c r="J65" i="16"/>
  <c r="H63" i="16"/>
  <c r="H65" i="16"/>
  <c r="H66" i="16"/>
  <c r="I66" i="16"/>
  <c r="I63" i="16"/>
  <c r="I65" i="16"/>
  <c r="P63" i="16"/>
  <c r="P65" i="16"/>
  <c r="P66" i="16"/>
  <c r="Q66" i="16"/>
  <c r="Q63" i="16"/>
  <c r="Q65" i="16"/>
  <c r="E50" i="1"/>
  <c r="E53" i="1"/>
  <c r="D50" i="1"/>
  <c r="D53" i="1"/>
  <c r="G50" i="1"/>
  <c r="G53" i="1"/>
  <c r="F50" i="1"/>
  <c r="F53" i="1"/>
  <c r="Q50" i="1"/>
  <c r="Q53" i="1"/>
  <c r="P50" i="1"/>
  <c r="P53" i="1"/>
  <c r="C50" i="1"/>
  <c r="C53" i="1"/>
  <c r="O50" i="1"/>
  <c r="O53" i="1"/>
  <c r="I38" i="1"/>
  <c r="B50" i="1"/>
  <c r="B53" i="1"/>
  <c r="L41" i="1"/>
  <c r="L48" i="1"/>
  <c r="L67" i="1" s="1"/>
  <c r="K41" i="1"/>
  <c r="K48" i="1"/>
  <c r="K67" i="1" s="1"/>
  <c r="N41" i="1"/>
  <c r="N48" i="1"/>
  <c r="N67" i="1" s="1"/>
  <c r="M41" i="1"/>
  <c r="M48" i="1"/>
  <c r="M67" i="1" s="1"/>
  <c r="H41" i="1"/>
  <c r="H48" i="1"/>
  <c r="H67" i="1" s="1"/>
  <c r="J41" i="1"/>
  <c r="J48" i="1"/>
  <c r="J67" i="1" s="1"/>
  <c r="I41" i="1"/>
  <c r="I48" i="1"/>
  <c r="I67" i="1" s="1"/>
  <c r="N18" i="1"/>
  <c r="N65" i="1" s="1"/>
  <c r="N45" i="1"/>
  <c r="M18" i="1"/>
  <c r="M65" i="1" s="1"/>
  <c r="M45" i="1"/>
  <c r="L18" i="1"/>
  <c r="L65" i="1" s="1"/>
  <c r="L45" i="1"/>
  <c r="K18" i="1"/>
  <c r="K65" i="1" s="1"/>
  <c r="K45" i="1"/>
  <c r="H18" i="1"/>
  <c r="H65" i="1" s="1"/>
  <c r="H45" i="1"/>
  <c r="J18" i="1"/>
  <c r="J65" i="1" s="1"/>
  <c r="J45" i="1"/>
  <c r="Q18" i="1"/>
  <c r="Q65" i="1" s="1"/>
  <c r="Q45" i="1"/>
  <c r="I18" i="1"/>
  <c r="I65" i="1" s="1"/>
  <c r="I45" i="1"/>
  <c r="P18" i="1"/>
  <c r="P65" i="1" s="1"/>
  <c r="P45" i="1"/>
  <c r="L38" i="1"/>
  <c r="O18" i="1"/>
  <c r="O65" i="1" s="1"/>
  <c r="O45" i="1"/>
  <c r="N40" i="10"/>
  <c r="N42" i="10" s="1"/>
  <c r="L40" i="10"/>
  <c r="L42" i="10" s="1"/>
  <c r="I40" i="10"/>
  <c r="I42" i="10" s="1"/>
  <c r="B72" i="10"/>
  <c r="K15" i="9"/>
  <c r="K18" i="9" s="1"/>
  <c r="K26" i="9"/>
  <c r="R15" i="9"/>
  <c r="R18" i="9" s="1"/>
  <c r="R26" i="9"/>
  <c r="Q15" i="9"/>
  <c r="Q22" i="9" s="1"/>
  <c r="Q26" i="9"/>
  <c r="T20" i="9"/>
  <c r="M15" i="9"/>
  <c r="M18" i="9" s="1"/>
  <c r="M26" i="9"/>
  <c r="L15" i="9"/>
  <c r="L18" i="9" s="1"/>
  <c r="L26" i="9"/>
  <c r="I15" i="9"/>
  <c r="I18" i="9" s="1"/>
  <c r="I26" i="9"/>
  <c r="P15" i="9"/>
  <c r="P18" i="9" s="1"/>
  <c r="P26" i="9"/>
  <c r="J15" i="9"/>
  <c r="J18" i="9" s="1"/>
  <c r="J26" i="9"/>
  <c r="N15" i="9"/>
  <c r="N18" i="9" s="1"/>
  <c r="N26" i="9"/>
  <c r="B21" i="9"/>
  <c r="B13" i="9"/>
  <c r="B26" i="9" s="1"/>
  <c r="C13" i="9"/>
  <c r="C26" i="9" s="1"/>
  <c r="C21" i="9"/>
  <c r="D21" i="9"/>
  <c r="D13" i="9"/>
  <c r="D26" i="9" s="1"/>
  <c r="E21" i="9"/>
  <c r="E13" i="9"/>
  <c r="E26" i="9" s="1"/>
  <c r="F21" i="9"/>
  <c r="F13" i="9"/>
  <c r="F26" i="9" s="1"/>
  <c r="G13" i="9"/>
  <c r="G26" i="9" s="1"/>
  <c r="G21" i="9"/>
  <c r="H21" i="9"/>
  <c r="H13" i="9"/>
  <c r="H26" i="9" s="1"/>
  <c r="Q21" i="9"/>
  <c r="L20" i="9"/>
  <c r="K49" i="16" s="1"/>
  <c r="Q38" i="1"/>
  <c r="P38" i="1"/>
  <c r="O38" i="1"/>
  <c r="N38" i="1"/>
  <c r="M38" i="1"/>
  <c r="K38" i="1"/>
  <c r="J38" i="1"/>
  <c r="H38" i="1"/>
  <c r="B39" i="1"/>
  <c r="O41" i="1"/>
  <c r="Q41" i="1"/>
  <c r="S21" i="9"/>
  <c r="S13" i="9"/>
  <c r="S26" i="9" s="1"/>
  <c r="O13" i="9"/>
  <c r="O26" i="9" s="1"/>
  <c r="O21" i="9"/>
  <c r="P21" i="9"/>
  <c r="S20" i="9"/>
  <c r="K20" i="9"/>
  <c r="J49" i="16" s="1"/>
  <c r="R20" i="9"/>
  <c r="Q49" i="16" s="1"/>
  <c r="J20" i="9"/>
  <c r="I49" i="16" s="1"/>
  <c r="T13" i="9"/>
  <c r="T26" i="9" s="1"/>
  <c r="I20" i="9"/>
  <c r="H49" i="16" s="1"/>
  <c r="N21" i="9"/>
  <c r="Q20" i="9"/>
  <c r="P49" i="16" s="1"/>
  <c r="I21" i="9"/>
  <c r="M21" i="9"/>
  <c r="P20" i="9"/>
  <c r="O49" i="16" s="1"/>
  <c r="M40" i="10"/>
  <c r="M42" i="10" s="1"/>
  <c r="N22" i="9"/>
  <c r="L21" i="9"/>
  <c r="O20" i="9"/>
  <c r="N49" i="16" s="1"/>
  <c r="K21" i="9"/>
  <c r="N20" i="9"/>
  <c r="M49" i="16" s="1"/>
  <c r="K40" i="10"/>
  <c r="K42" i="10" s="1"/>
  <c r="R21" i="9"/>
  <c r="J21" i="9"/>
  <c r="M20" i="9"/>
  <c r="L49" i="16" s="1"/>
  <c r="H40" i="10"/>
  <c r="H42" i="10" s="1"/>
  <c r="J40" i="10"/>
  <c r="J42" i="10" s="1"/>
  <c r="Q40" i="10"/>
  <c r="Q42" i="10" s="1"/>
  <c r="P40" i="10"/>
  <c r="P42" i="10" s="1"/>
  <c r="O40" i="10"/>
  <c r="O42" i="10" s="1"/>
  <c r="P41" i="1"/>
  <c r="O58" i="10" l="1"/>
  <c r="O60" i="10" s="1"/>
  <c r="O62" i="10" s="1"/>
  <c r="G54" i="1"/>
  <c r="G68" i="1"/>
  <c r="P54" i="1"/>
  <c r="P68" i="1"/>
  <c r="D54" i="1"/>
  <c r="D68" i="1"/>
  <c r="B54" i="1"/>
  <c r="B68" i="1"/>
  <c r="C54" i="1"/>
  <c r="C68" i="1"/>
  <c r="Q54" i="1"/>
  <c r="Q68" i="1"/>
  <c r="E54" i="1"/>
  <c r="E68" i="1"/>
  <c r="L39" i="1"/>
  <c r="P39" i="1"/>
  <c r="O54" i="1"/>
  <c r="O68" i="1"/>
  <c r="F54" i="1"/>
  <c r="F68" i="1"/>
  <c r="I39" i="1"/>
  <c r="J39" i="1"/>
  <c r="M39" i="1"/>
  <c r="K67" i="16"/>
  <c r="L67" i="16"/>
  <c r="I67" i="16"/>
  <c r="M67" i="16"/>
  <c r="Q67" i="16"/>
  <c r="N67" i="16"/>
  <c r="H67" i="16"/>
  <c r="O67" i="16"/>
  <c r="P67" i="16"/>
  <c r="J67" i="16"/>
  <c r="J50" i="1"/>
  <c r="J53" i="1"/>
  <c r="K50" i="1"/>
  <c r="K53" i="1"/>
  <c r="H50" i="1"/>
  <c r="H53" i="1"/>
  <c r="L50" i="1"/>
  <c r="L53" i="1"/>
  <c r="M50" i="1"/>
  <c r="M53" i="1"/>
  <c r="Q39" i="1"/>
  <c r="I50" i="1"/>
  <c r="I53" i="1"/>
  <c r="N50" i="1"/>
  <c r="N53" i="1"/>
  <c r="H39" i="1"/>
  <c r="N39" i="1"/>
  <c r="K39" i="1"/>
  <c r="O39" i="1"/>
  <c r="L22" i="9"/>
  <c r="K22" i="9"/>
  <c r="P22" i="9"/>
  <c r="I22" i="9"/>
  <c r="M22" i="9"/>
  <c r="Q18" i="9"/>
  <c r="J22" i="9"/>
  <c r="R22" i="9"/>
  <c r="B15" i="9"/>
  <c r="C15" i="9"/>
  <c r="D15" i="9"/>
  <c r="E15" i="9"/>
  <c r="F15" i="9"/>
  <c r="G15" i="9"/>
  <c r="H15" i="9"/>
  <c r="T15" i="9"/>
  <c r="O15" i="9"/>
  <c r="S15" i="9"/>
  <c r="H54" i="1" l="1"/>
  <c r="H68" i="1"/>
  <c r="I54" i="1"/>
  <c r="I68" i="1"/>
  <c r="K54" i="1"/>
  <c r="K68" i="1"/>
  <c r="N54" i="1"/>
  <c r="N68" i="1"/>
  <c r="J54" i="1"/>
  <c r="J68" i="1"/>
  <c r="L54" i="1"/>
  <c r="L68" i="1"/>
  <c r="M54" i="1"/>
  <c r="M68" i="1"/>
  <c r="B22" i="9"/>
  <c r="B18" i="9"/>
  <c r="C18" i="9"/>
  <c r="C22" i="9"/>
  <c r="D18" i="9"/>
  <c r="D22" i="9"/>
  <c r="E18" i="9"/>
  <c r="E22" i="9"/>
  <c r="F18" i="9"/>
  <c r="F22" i="9"/>
  <c r="G18" i="9"/>
  <c r="G22" i="9"/>
  <c r="H18" i="9"/>
  <c r="H22" i="9"/>
  <c r="S18" i="9"/>
  <c r="S22" i="9"/>
  <c r="O18" i="9"/>
  <c r="O22" i="9"/>
  <c r="T18" i="9"/>
  <c r="T22" i="9"/>
</calcChain>
</file>

<file path=xl/sharedStrings.xml><?xml version="1.0" encoding="utf-8"?>
<sst xmlns="http://schemas.openxmlformats.org/spreadsheetml/2006/main" count="370" uniqueCount="247">
  <si>
    <t>ASSETS</t>
  </si>
  <si>
    <t>Current assets:</t>
  </si>
  <si>
    <t>Current liabilities:</t>
  </si>
  <si>
    <t>Operating margin</t>
  </si>
  <si>
    <t>Net margin</t>
  </si>
  <si>
    <t>Cash flows from operating activities:</t>
  </si>
  <si>
    <t>Interest expense</t>
  </si>
  <si>
    <t>Figures in thousands except per share amounts</t>
  </si>
  <si>
    <t xml:space="preserve">  Cash and cash equivalents</t>
  </si>
  <si>
    <t xml:space="preserve">  Inventories</t>
  </si>
  <si>
    <t>TOTAL ASSETS</t>
  </si>
  <si>
    <t xml:space="preserve">  Accounts payable</t>
  </si>
  <si>
    <t xml:space="preserve">  Income taxes payable</t>
  </si>
  <si>
    <t xml:space="preserve">  Common stock</t>
  </si>
  <si>
    <t xml:space="preserve">  Retained earnings</t>
  </si>
  <si>
    <t>Book value per share</t>
  </si>
  <si>
    <t>Net sales</t>
  </si>
  <si>
    <t>Cost of sales</t>
  </si>
  <si>
    <t>Gross profit</t>
  </si>
  <si>
    <t>Operating income</t>
  </si>
  <si>
    <t>Gross margin</t>
  </si>
  <si>
    <t>United States</t>
  </si>
  <si>
    <t>Total</t>
  </si>
  <si>
    <t>Total current assets</t>
  </si>
  <si>
    <t>LIABILITIES AND STOCKHOLDERS' EQUITY</t>
  </si>
  <si>
    <t xml:space="preserve">  Other</t>
  </si>
  <si>
    <t>Total current liabilities</t>
  </si>
  <si>
    <t>Deferred income tax liabilities</t>
  </si>
  <si>
    <t>Long-term debt</t>
  </si>
  <si>
    <t xml:space="preserve">  Additional paid-in capital</t>
  </si>
  <si>
    <t xml:space="preserve">  Accumulated other comprehensive income (loss)</t>
  </si>
  <si>
    <t>Total stockholders' equity</t>
  </si>
  <si>
    <t xml:space="preserve">  Excess tax benefits from stock-based compensation</t>
  </si>
  <si>
    <t xml:space="preserve">  Accrued expenses</t>
  </si>
  <si>
    <t>Net cash provided by operating activities</t>
  </si>
  <si>
    <t>Net cash provided by (used in) investing activities</t>
  </si>
  <si>
    <t>Net cash provided by (used in) financing activities</t>
  </si>
  <si>
    <t>Acquisitions</t>
  </si>
  <si>
    <t>Other</t>
  </si>
  <si>
    <t>Current ratio</t>
  </si>
  <si>
    <t xml:space="preserve">  Prepaid income taxes</t>
  </si>
  <si>
    <t xml:space="preserve">  Other current assets</t>
  </si>
  <si>
    <t>Property and equipment, net</t>
  </si>
  <si>
    <t>Other assets, net</t>
  </si>
  <si>
    <t xml:space="preserve">  Current portion of debt</t>
  </si>
  <si>
    <t>Stockholders' equity:</t>
  </si>
  <si>
    <t xml:space="preserve">  Preferred stock</t>
  </si>
  <si>
    <t xml:space="preserve">  Marketable  securities</t>
  </si>
  <si>
    <t xml:space="preserve">  Deferred income taxes</t>
  </si>
  <si>
    <t>Marketable securities</t>
  </si>
  <si>
    <t>Change in shares outstanding</t>
  </si>
  <si>
    <t>Operating and administrative expenses</t>
  </si>
  <si>
    <t>Interest income</t>
  </si>
  <si>
    <t>Earnings before tax</t>
  </si>
  <si>
    <t>Income tax expense</t>
  </si>
  <si>
    <t>Net earnings</t>
  </si>
  <si>
    <t>Diluted net earnings per share</t>
  </si>
  <si>
    <t>(Gain) Loss on sale of property and equipment</t>
  </si>
  <si>
    <t xml:space="preserve">  Net earnings</t>
  </si>
  <si>
    <t xml:space="preserve">    Bad debt expense</t>
  </si>
  <si>
    <t xml:space="preserve">    Deferred income taxes</t>
  </si>
  <si>
    <t xml:space="preserve">    Stock-based compensation</t>
  </si>
  <si>
    <t xml:space="preserve">    Excess tax benefits from stock-based compensation</t>
  </si>
  <si>
    <t xml:space="preserve">      Trade accounts receivable</t>
  </si>
  <si>
    <t xml:space="preserve">      Inventories</t>
  </si>
  <si>
    <t xml:space="preserve">      Other current assets</t>
  </si>
  <si>
    <t xml:space="preserve">      Accounts payable</t>
  </si>
  <si>
    <t xml:space="preserve">      Accrued expenses</t>
  </si>
  <si>
    <t xml:space="preserve">      Income taxes</t>
  </si>
  <si>
    <t>Cash flows from investing activities:</t>
  </si>
  <si>
    <t xml:space="preserve">  Payments against debt obligations</t>
  </si>
  <si>
    <t xml:space="preserve">  Proceeds from exercise of stock options</t>
  </si>
  <si>
    <t xml:space="preserve">  Purchases of common stock</t>
  </si>
  <si>
    <t xml:space="preserve">  Payments of dividends</t>
  </si>
  <si>
    <t>Cash flows from financing activities:</t>
  </si>
  <si>
    <t xml:space="preserve">  Purchases of property and equipment</t>
  </si>
  <si>
    <t xml:space="preserve">  Cash paid for acquisitions</t>
  </si>
  <si>
    <t xml:space="preserve">  Proceeds from sale of property and equipment</t>
  </si>
  <si>
    <t xml:space="preserve">  Net decrease (increase) in marketable securities</t>
  </si>
  <si>
    <t>Effect of exchange rate fluctuations on cash and cash equivalents</t>
  </si>
  <si>
    <t>Net (decrease) increase in cash and cash equivalents</t>
  </si>
  <si>
    <t>Cash and cash equivalents at beginning of year</t>
  </si>
  <si>
    <t>Cash and cash equivalents at end of year</t>
  </si>
  <si>
    <t xml:space="preserve">  Manufacturing, warehouse and packaging equipment, industrial vending, facilities</t>
  </si>
  <si>
    <t xml:space="preserve">  Data processing software and equipment</t>
  </si>
  <si>
    <t xml:space="preserve">  Vehicles</t>
  </si>
  <si>
    <t xml:space="preserve">  Net capital expenditures</t>
  </si>
  <si>
    <t>Net borrowings</t>
  </si>
  <si>
    <t>Total selected sources of cash</t>
  </si>
  <si>
    <t>Stock repurchases</t>
  </si>
  <si>
    <t>Dividends</t>
  </si>
  <si>
    <t>Total selected uses of cash</t>
  </si>
  <si>
    <t>Canada</t>
  </si>
  <si>
    <t>Industrial vending machine count</t>
  </si>
  <si>
    <t>Business days</t>
  </si>
  <si>
    <t>Sales by product line</t>
  </si>
  <si>
    <t>Fasteners</t>
  </si>
  <si>
    <t>Tools</t>
  </si>
  <si>
    <t>Cutting tools</t>
  </si>
  <si>
    <t>Hydraulics &amp; pneumatics</t>
  </si>
  <si>
    <t>Material handling</t>
  </si>
  <si>
    <t>Janitorial supplies</t>
  </si>
  <si>
    <t>Electrical supplies</t>
  </si>
  <si>
    <t>Welding supplies</t>
  </si>
  <si>
    <t>Safety supplies</t>
  </si>
  <si>
    <t>Metals</t>
  </si>
  <si>
    <t>Direct ship (bypassing store network)</t>
  </si>
  <si>
    <t>Office supplies</t>
  </si>
  <si>
    <t>Other foreign countries</t>
  </si>
  <si>
    <t>Sales by geographic location, as % of total</t>
  </si>
  <si>
    <t>Change in revenue</t>
  </si>
  <si>
    <t>Depreciation (from CF tab)</t>
  </si>
  <si>
    <t>Net Capex (from CF tab)</t>
  </si>
  <si>
    <t xml:space="preserve">  As percentage of net sales</t>
  </si>
  <si>
    <r>
      <t xml:space="preserve">    </t>
    </r>
    <r>
      <rPr>
        <sz val="14"/>
        <color theme="1"/>
        <rFont val="Calibri"/>
        <family val="2"/>
        <scheme val="minor"/>
      </rPr>
      <t>Total purchases of property and equipment</t>
    </r>
  </si>
  <si>
    <t>Figures in millions except per share amounts</t>
  </si>
  <si>
    <t>Operating lease right-of-use assets</t>
  </si>
  <si>
    <t xml:space="preserve">  Current portion of operating lease liabilities</t>
  </si>
  <si>
    <t>Operating lease liabilities</t>
  </si>
  <si>
    <t>Other long-term liabilities</t>
  </si>
  <si>
    <t xml:space="preserve">  Trade accounts receivable, net of allowance for credit losses</t>
  </si>
  <si>
    <t>Common stock outstanding (adj. for 2:1 splits in 2019 and 2011)</t>
  </si>
  <si>
    <t>Fiscal Years ending on December 31</t>
  </si>
  <si>
    <t>Nine Monhts Ended</t>
  </si>
  <si>
    <t>Effective tax rate</t>
  </si>
  <si>
    <t>Diluted shares  (adj. for 2:1 split in 2011 &amp; 2019)</t>
  </si>
  <si>
    <t>Operating and admin expenses as % of sales</t>
  </si>
  <si>
    <t xml:space="preserve">    Amortization of intangible assets</t>
  </si>
  <si>
    <t xml:space="preserve">    Depreciation of property and equipment</t>
  </si>
  <si>
    <t xml:space="preserve">    Changes in operating assets and liabilities:</t>
  </si>
  <si>
    <t xml:space="preserve">  Proceeds from debt obligations</t>
  </si>
  <si>
    <t xml:space="preserve">    Gain on sale of property and equipment</t>
  </si>
  <si>
    <t>9 Months</t>
  </si>
  <si>
    <t xml:space="preserve">  Adjustments to reconcile net earnings to net cash provided by op. activities:</t>
  </si>
  <si>
    <t>Total Capital</t>
  </si>
  <si>
    <t xml:space="preserve">  Stockholders equity</t>
  </si>
  <si>
    <t xml:space="preserve">  Debt</t>
  </si>
  <si>
    <t>Return on equity</t>
  </si>
  <si>
    <t>Return on capital</t>
  </si>
  <si>
    <t>Inventory Turns</t>
  </si>
  <si>
    <t>Branch Locations</t>
  </si>
  <si>
    <t xml:space="preserve">  United States</t>
  </si>
  <si>
    <t xml:space="preserve">  Canada</t>
  </si>
  <si>
    <t xml:space="preserve">  Mexico and Caribbean</t>
  </si>
  <si>
    <t xml:space="preserve">  Central &amp; South America</t>
  </si>
  <si>
    <t xml:space="preserve">  Asia</t>
  </si>
  <si>
    <t xml:space="preserve">  Europe</t>
  </si>
  <si>
    <t>Total Branch Locations</t>
  </si>
  <si>
    <t>Total Onsite Locations</t>
  </si>
  <si>
    <t>Onsite Locations</t>
  </si>
  <si>
    <t>In-Market Locations (Sum of Branch and Onsites)</t>
  </si>
  <si>
    <t xml:space="preserve">  Africa</t>
  </si>
  <si>
    <t>Data sources: 10-K reports for annual data. Q3 2022 earnings call presentation slides (appendix) for 9/30/22 data.</t>
  </si>
  <si>
    <t>Fastenal has had what are now called Onsite locations since 1992 but they did not specifically track or report their number prior to identifying the Onsite program as a growth driver in 2014.
Starting in 2014, onsite data is provided, but regional data is not available prior to 2018. For the 9/30/22 data, the earnings call slide appendix provides data, but it is not as granular as what is provided in 10-Ks. The 10-Q does not provide this data.</t>
  </si>
  <si>
    <t>Industrial vending machine equivalent count*</t>
  </si>
  <si>
    <t>(* relative to capability/capacity of FAST 5000 machine)</t>
  </si>
  <si>
    <t>n/a</t>
  </si>
  <si>
    <t>Net sales ($millions)</t>
  </si>
  <si>
    <t>Daily sales ($millions)</t>
  </si>
  <si>
    <t>Data not provided prior to 2011</t>
  </si>
  <si>
    <t>Sales by geographic location ($ millions)</t>
  </si>
  <si>
    <t>Canada and Mexico</t>
  </si>
  <si>
    <t>All other foreign countries</t>
  </si>
  <si>
    <t>Reporting changed to combine Canada &amp; Mexico</t>
  </si>
  <si>
    <t>Reporting prior to 2017 broke revenue down between U.S., Canada, and foreign countries including Mexico</t>
  </si>
  <si>
    <t>Branch revenue</t>
  </si>
  <si>
    <t>Onsite revenue</t>
  </si>
  <si>
    <t>Total revenue</t>
  </si>
  <si>
    <t>Other revenue</t>
  </si>
  <si>
    <t>Sales by Channel ($ millions)</t>
  </si>
  <si>
    <t>Sales by Channel (percent of total)</t>
  </si>
  <si>
    <t>Not available in 10-Q</t>
  </si>
  <si>
    <t>Total branch locations</t>
  </si>
  <si>
    <t>Total onsite locations</t>
  </si>
  <si>
    <t>Branch revenue ($ millions)</t>
  </si>
  <si>
    <t>Onsite revenue ($ millions)</t>
  </si>
  <si>
    <t>Total in-market locations (branch + onsite)</t>
  </si>
  <si>
    <t>Total in-market revenue</t>
  </si>
  <si>
    <t>FASTStock sales</t>
  </si>
  <si>
    <t>FASTBin/FASTVend Sales</t>
  </si>
  <si>
    <t>Total FMI Sales</t>
  </si>
  <si>
    <t>Employees</t>
  </si>
  <si>
    <t>In-market locations (branches and onsites)</t>
  </si>
  <si>
    <t>Non-in-market selling</t>
  </si>
  <si>
    <t>Selling subtotal</t>
  </si>
  <si>
    <t>Distribution/Transportation</t>
  </si>
  <si>
    <t>Manufacturing</t>
  </si>
  <si>
    <t>Administrative</t>
  </si>
  <si>
    <t>Non-selling subtotal</t>
  </si>
  <si>
    <t>Total sales / Total employees ($)</t>
  </si>
  <si>
    <t>Total sales / Selling Employees ($)</t>
  </si>
  <si>
    <t>Employment productivity statistics:</t>
  </si>
  <si>
    <t>Average sales per branch location/month ($ thousands)</t>
  </si>
  <si>
    <t>Average sales per onsite location/month ($ thousands)</t>
  </si>
  <si>
    <t>Average sales per in-market location/month ($ thousands)</t>
  </si>
  <si>
    <t>Total sales / Distribution &amp; Transportation Employees ($)</t>
  </si>
  <si>
    <t>Change in trade working capital</t>
  </si>
  <si>
    <t>Updated 11/19/2022</t>
  </si>
  <si>
    <t xml:space="preserve">  Shelving and supplies for openings &amp; expansion at existing in-market locations</t>
  </si>
  <si>
    <t xml:space="preserve">  Real estate and improvements to branch locations</t>
  </si>
  <si>
    <t>Proceeds from stock option issuance</t>
  </si>
  <si>
    <t>Fastenal Statements of Operations - Annual</t>
  </si>
  <si>
    <t>Fastenal Balance Sheets - Annual</t>
  </si>
  <si>
    <t>Fastenal Cash Flow Analysis - Annual</t>
  </si>
  <si>
    <t>Fastenal Key Statistics - Annual</t>
  </si>
  <si>
    <t>Fastenal Statements of Operations - Quarterly</t>
  </si>
  <si>
    <t>Fiscal Quarters Ending On</t>
  </si>
  <si>
    <t>Diluted shares  (adj. for 2:1 split in 2019)</t>
  </si>
  <si>
    <t>Updated 11/20/2022</t>
  </si>
  <si>
    <t>Fastenal Balance Sheets - Quarterly</t>
  </si>
  <si>
    <t>Net income (from operating summary - quarterly)</t>
  </si>
  <si>
    <t>Return on equity (annualized)</t>
  </si>
  <si>
    <t>Return on capital (annualized)</t>
  </si>
  <si>
    <t>Inventory Turns (quarterly cost of sales * 4) / average inventory</t>
  </si>
  <si>
    <t>Fastenal Key Statistics - Quarterly</t>
  </si>
  <si>
    <t>Industrial vending machine equivalent unit *</t>
  </si>
  <si>
    <t>Digital Footprint as percentage of total sales</t>
  </si>
  <si>
    <t>Fastenal Managed Inventory Sales ($ millions)</t>
  </si>
  <si>
    <t>Fastenal Managed Inventory Sales as % of Net Sales</t>
  </si>
  <si>
    <t>Fastenal Managed Inventory Sales as % of Total Sales</t>
  </si>
  <si>
    <t>Data not provided</t>
  </si>
  <si>
    <t>Note: Sales by product line is available in 10-Qs and 10-Ks, but for 10-K reports only provides annual figures. The data above for Q4 2021, 2020, and 2019 is from earnings press releases which offer less granularity than 10-Qs.</t>
  </si>
  <si>
    <t>Trade Working Capital, Net (A/R + Inventories - A/P)</t>
  </si>
  <si>
    <t>(9 months)</t>
  </si>
  <si>
    <t>TOTAL LIABILITIES AND STOCKHOLDERS' EQUITY</t>
  </si>
  <si>
    <t>Debt to Equity Ratio</t>
  </si>
  <si>
    <t>Debt to Total Capital Ratio</t>
  </si>
  <si>
    <t>Trade Working Capital:</t>
  </si>
  <si>
    <t xml:space="preserve">  Trade accounts receivable, net</t>
  </si>
  <si>
    <t xml:space="preserve">  Less accounts payable</t>
  </si>
  <si>
    <t>Trade working capital as % of total assets</t>
  </si>
  <si>
    <t>Net income (annualized for Q1-Q3 22)</t>
  </si>
  <si>
    <t>Trade working capital as a percentage of total assets</t>
  </si>
  <si>
    <t>Totals: 2010-Q3 2022</t>
  </si>
  <si>
    <t>Cash Flows from Operations</t>
  </si>
  <si>
    <t>Net Income</t>
  </si>
  <si>
    <t>Net Capital Expenditures:</t>
  </si>
  <si>
    <t>Free Cash Flow:</t>
  </si>
  <si>
    <t xml:space="preserve">  Less proceeds from sale of property and equipment</t>
  </si>
  <si>
    <r>
      <t xml:space="preserve">  </t>
    </r>
    <r>
      <rPr>
        <sz val="14"/>
        <color theme="1"/>
        <rFont val="Calibri"/>
        <family val="2"/>
        <scheme val="minor"/>
      </rPr>
      <t>Cash flows from operations</t>
    </r>
  </si>
  <si>
    <t xml:space="preserve">  Less net capital expenditures</t>
  </si>
  <si>
    <t>Free Cash Flow</t>
  </si>
  <si>
    <t>FREE CASH FLOW ANALYSIS (2010 to Q3 2022)</t>
  </si>
  <si>
    <t>Updated 11/25/2022</t>
  </si>
  <si>
    <t>Free cash flow as % of net income</t>
  </si>
  <si>
    <t>Selected sources and uses of cash: 2010 to Q3 2022</t>
  </si>
  <si>
    <t>Free cash flow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</si>
</sst>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409]mmmm\ d\,\ yyyy;@"/>
    <numFmt numFmtId="165" formatCode="_(* #,##0_);_(* \(#,##0\);_(* &quot;-&quot;??_);_(@_)"/>
    <numFmt numFmtId="166" formatCode="0.0%"/>
    <numFmt numFmtId="167" formatCode="_(* #,##0.0_);_(* \(#,##0.0\);_(* &quot;-&quot;??_);_(@_)"/>
    <numFmt numFmtId="168" formatCode="_(* #,##0.000_);_(* \(#,##0.000\);_(* &quot;-&quot;??_);_(@_)"/>
  </numFmts>
  <fonts count="11" x14ac:knownFonts="1">
    <font>
      <sz val="11"/>
      <color theme="1"/>
      <name val="Calibri"/>
      <family val="2"/>
      <scheme val="minor"/>
    </font>
    <font>
      <sz val="12"/>
      <color theme="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b/>
      <sz val="14"/>
      <color rgb="FFFF0000"/>
      <name val="Calibri"/>
      <family val="2"/>
      <scheme val="minor"/>
    </font>
    <font>
      <sz val="14"/>
      <color theme="1"/>
      <name val="Calibri"/>
      <family val="2"/>
      <scheme val="minor"/>
    </font>
    <font>
      <i/>
      <sz val="14"/>
      <color theme="1"/>
      <name val="Calibri"/>
      <family val="2"/>
      <scheme val="minor"/>
    </font>
    <font>
      <b/>
      <sz val="14"/>
      <name val="Calibri"/>
      <family val="2"/>
      <scheme val="minor"/>
    </font>
    <font>
      <b/>
      <sz val="16"/>
      <color theme="1"/>
      <name val="Calibri"/>
      <family val="2"/>
      <scheme val="minor"/>
    </font>
    <font>
      <b/>
      <sz val="18"/>
      <color theme="1"/>
      <name val="Calibri"/>
      <family val="2"/>
      <scheme val="minor"/>
    </font>
  </fonts>
  <fills count="4">
    <fill>
      <patternFill patternType="none"/>
    </fill>
    <fill>
      <patternFill patternType="gray125"/>
    </fill>
    <fill>
      <patternFill patternType="solid">
        <fgColor rgb="FFFFC000"/>
        <bgColor indexed="64"/>
      </patternFill>
    </fill>
    <fill>
      <patternFill patternType="solid">
        <fgColor theme="3" tint="0.79998168889431442"/>
        <bgColor indexed="64"/>
      </patternFill>
    </fill>
  </fills>
  <borders count="23">
    <border>
      <left/>
      <right/>
      <top/>
      <bottom/>
      <diagonal/>
    </border>
    <border>
      <left/>
      <right/>
      <top style="thin">
        <color auto="1"/>
      </top>
      <bottom/>
      <diagonal/>
    </border>
    <border>
      <left/>
      <right/>
      <top style="thin">
        <color auto="1"/>
      </top>
      <bottom style="double">
        <color auto="1"/>
      </bottom>
      <diagonal/>
    </border>
    <border>
      <left/>
      <right/>
      <top/>
      <bottom style="thin">
        <color auto="1"/>
      </bottom>
      <diagonal/>
    </border>
    <border>
      <left/>
      <right style="double">
        <color auto="1"/>
      </right>
      <top/>
      <bottom/>
      <diagonal/>
    </border>
    <border>
      <left/>
      <right style="double">
        <color auto="1"/>
      </right>
      <top style="thin">
        <color auto="1"/>
      </top>
      <bottom/>
      <diagonal/>
    </border>
    <border>
      <left/>
      <right style="double">
        <color auto="1"/>
      </right>
      <top style="thin">
        <color auto="1"/>
      </top>
      <bottom style="double">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auto="1"/>
      </left>
      <right/>
      <top/>
      <bottom/>
      <diagonal/>
    </border>
    <border>
      <left/>
      <right/>
      <top style="double">
        <color auto="1"/>
      </top>
      <bottom/>
      <diagonal/>
    </border>
    <border>
      <left/>
      <right style="double">
        <color auto="1"/>
      </right>
      <top/>
      <bottom style="thin">
        <color auto="1"/>
      </bottom>
      <diagonal/>
    </border>
    <border>
      <left/>
      <right style="double">
        <color auto="1"/>
      </right>
      <top style="double">
        <color auto="1"/>
      </top>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1" fillId="0" borderId="0"/>
  </cellStyleXfs>
  <cellXfs count="160">
    <xf numFmtId="0" fontId="0" fillId="0" borderId="0" xfId="0"/>
    <xf numFmtId="0" fontId="1" fillId="0" borderId="0" xfId="3"/>
    <xf numFmtId="0" fontId="5" fillId="0" borderId="0" xfId="0" applyFont="1"/>
    <xf numFmtId="0" fontId="6" fillId="0" borderId="0" xfId="0" applyFont="1"/>
    <xf numFmtId="164" fontId="7" fillId="0" borderId="0" xfId="0" applyNumberFormat="1" applyFont="1"/>
    <xf numFmtId="14" fontId="4" fillId="3" borderId="0" xfId="0" applyNumberFormat="1" applyFont="1" applyFill="1" applyAlignment="1">
      <alignment horizontal="center"/>
    </xf>
    <xf numFmtId="14" fontId="4" fillId="3" borderId="0" xfId="1" applyNumberFormat="1" applyFont="1" applyFill="1" applyAlignment="1">
      <alignment horizontal="center"/>
    </xf>
    <xf numFmtId="14" fontId="4" fillId="0" borderId="0" xfId="0" applyNumberFormat="1" applyFont="1"/>
    <xf numFmtId="0" fontId="4" fillId="0" borderId="0" xfId="0" applyFont="1"/>
    <xf numFmtId="165" fontId="6" fillId="0" borderId="0" xfId="1" applyNumberFormat="1" applyFont="1" applyFill="1"/>
    <xf numFmtId="165" fontId="6" fillId="0" borderId="0" xfId="1" applyNumberFormat="1" applyFont="1"/>
    <xf numFmtId="165" fontId="6" fillId="0" borderId="0" xfId="1" applyNumberFormat="1" applyFont="1" applyBorder="1"/>
    <xf numFmtId="43" fontId="6" fillId="0" borderId="0" xfId="1" applyFont="1"/>
    <xf numFmtId="9" fontId="6" fillId="0" borderId="0" xfId="2" applyFont="1"/>
    <xf numFmtId="167" fontId="6" fillId="0" borderId="0" xfId="1" applyNumberFormat="1" applyFont="1"/>
    <xf numFmtId="167" fontId="4" fillId="0" borderId="0" xfId="1" applyNumberFormat="1" applyFont="1"/>
    <xf numFmtId="166" fontId="4" fillId="0" borderId="0" xfId="2" applyNumberFormat="1" applyFont="1"/>
    <xf numFmtId="164" fontId="6" fillId="0" borderId="0" xfId="0" applyNumberFormat="1" applyFont="1"/>
    <xf numFmtId="0" fontId="4" fillId="3" borderId="0" xfId="0" applyFont="1" applyFill="1" applyAlignment="1">
      <alignment horizontal="center"/>
    </xf>
    <xf numFmtId="0" fontId="4" fillId="3" borderId="0" xfId="1" applyNumberFormat="1" applyFont="1" applyFill="1" applyAlignment="1">
      <alignment horizontal="center"/>
    </xf>
    <xf numFmtId="166" fontId="6" fillId="0" borderId="0" xfId="2" applyNumberFormat="1" applyFont="1"/>
    <xf numFmtId="166" fontId="6" fillId="0" borderId="0" xfId="1" applyNumberFormat="1" applyFont="1"/>
    <xf numFmtId="166" fontId="6" fillId="0" borderId="0" xfId="1" applyNumberFormat="1" applyFont="1" applyFill="1"/>
    <xf numFmtId="0" fontId="7" fillId="0" borderId="0" xfId="0" applyFont="1"/>
    <xf numFmtId="0" fontId="4" fillId="3" borderId="0" xfId="1" applyNumberFormat="1" applyFont="1" applyFill="1" applyBorder="1" applyAlignment="1">
      <alignment horizontal="center"/>
    </xf>
    <xf numFmtId="165" fontId="6" fillId="0" borderId="4" xfId="1" applyNumberFormat="1" applyFont="1" applyBorder="1"/>
    <xf numFmtId="165" fontId="4" fillId="0" borderId="0" xfId="1" applyNumberFormat="1" applyFont="1" applyBorder="1"/>
    <xf numFmtId="165" fontId="6" fillId="0" borderId="0" xfId="0" applyNumberFormat="1" applyFont="1"/>
    <xf numFmtId="9" fontId="6" fillId="0" borderId="4" xfId="2" applyFont="1" applyBorder="1"/>
    <xf numFmtId="165" fontId="4" fillId="0" borderId="1" xfId="0" applyNumberFormat="1" applyFont="1" applyBorder="1"/>
    <xf numFmtId="165" fontId="6" fillId="0" borderId="0" xfId="1" applyNumberFormat="1" applyFont="1" applyAlignment="1"/>
    <xf numFmtId="166" fontId="4" fillId="0" borderId="2" xfId="2" applyNumberFormat="1" applyFont="1" applyBorder="1"/>
    <xf numFmtId="9" fontId="4" fillId="0" borderId="2" xfId="2" applyFont="1" applyBorder="1"/>
    <xf numFmtId="0" fontId="9" fillId="0" borderId="0" xfId="0" applyFont="1"/>
    <xf numFmtId="0" fontId="10" fillId="3" borderId="0" xfId="0" applyFont="1" applyFill="1"/>
    <xf numFmtId="43" fontId="6" fillId="0" borderId="0" xfId="1" applyFont="1" applyBorder="1"/>
    <xf numFmtId="167" fontId="6" fillId="0" borderId="0" xfId="1" applyNumberFormat="1" applyFont="1" applyFill="1"/>
    <xf numFmtId="167" fontId="6" fillId="0" borderId="1" xfId="1" applyNumberFormat="1" applyFont="1" applyBorder="1"/>
    <xf numFmtId="167" fontId="6" fillId="0" borderId="0" xfId="1" applyNumberFormat="1" applyFont="1" applyBorder="1"/>
    <xf numFmtId="167" fontId="4" fillId="0" borderId="2" xfId="1" applyNumberFormat="1" applyFont="1" applyBorder="1"/>
    <xf numFmtId="167" fontId="4" fillId="0" borderId="1" xfId="1" applyNumberFormat="1" applyFont="1" applyBorder="1"/>
    <xf numFmtId="164" fontId="6" fillId="2" borderId="0" xfId="0" applyNumberFormat="1" applyFont="1" applyFill="1"/>
    <xf numFmtId="0" fontId="7" fillId="2" borderId="0" xfId="0" applyFont="1" applyFill="1"/>
    <xf numFmtId="167" fontId="4" fillId="0" borderId="0" xfId="1" applyNumberFormat="1" applyFont="1" applyFill="1"/>
    <xf numFmtId="14" fontId="4" fillId="2" borderId="0" xfId="0" applyNumberFormat="1" applyFont="1" applyFill="1" applyAlignment="1">
      <alignment horizontal="center"/>
    </xf>
    <xf numFmtId="14" fontId="4" fillId="2" borderId="4" xfId="0" applyNumberFormat="1" applyFont="1" applyFill="1" applyBorder="1" applyAlignment="1">
      <alignment horizontal="center"/>
    </xf>
    <xf numFmtId="167" fontId="4" fillId="0" borderId="0" xfId="1" applyNumberFormat="1" applyFont="1" applyBorder="1"/>
    <xf numFmtId="167" fontId="4" fillId="0" borderId="4" xfId="1" applyNumberFormat="1" applyFont="1" applyBorder="1"/>
    <xf numFmtId="167" fontId="6" fillId="0" borderId="4" xfId="1" applyNumberFormat="1" applyFont="1" applyBorder="1"/>
    <xf numFmtId="167" fontId="6" fillId="0" borderId="5" xfId="1" applyNumberFormat="1" applyFont="1" applyBorder="1"/>
    <xf numFmtId="167" fontId="4" fillId="0" borderId="6" xfId="1" applyNumberFormat="1" applyFont="1" applyBorder="1"/>
    <xf numFmtId="43" fontId="6" fillId="0" borderId="4" xfId="1" applyFont="1" applyBorder="1"/>
    <xf numFmtId="166" fontId="6" fillId="0" borderId="0" xfId="2" applyNumberFormat="1" applyFont="1" applyBorder="1"/>
    <xf numFmtId="166" fontId="6" fillId="0" borderId="4" xfId="2" applyNumberFormat="1" applyFont="1" applyBorder="1"/>
    <xf numFmtId="166" fontId="6" fillId="0" borderId="0" xfId="1" applyNumberFormat="1" applyFont="1" applyBorder="1"/>
    <xf numFmtId="166" fontId="6" fillId="0" borderId="4" xfId="1" applyNumberFormat="1" applyFont="1" applyBorder="1"/>
    <xf numFmtId="9" fontId="6" fillId="0" borderId="0" xfId="2" applyFont="1" applyBorder="1"/>
    <xf numFmtId="0" fontId="10" fillId="0" borderId="0" xfId="0" applyFont="1"/>
    <xf numFmtId="167" fontId="6" fillId="0" borderId="0" xfId="0" applyNumberFormat="1" applyFont="1"/>
    <xf numFmtId="167" fontId="4" fillId="0" borderId="0" xfId="0" applyNumberFormat="1" applyFont="1"/>
    <xf numFmtId="168" fontId="6" fillId="0" borderId="0" xfId="1" applyNumberFormat="1" applyFont="1" applyBorder="1"/>
    <xf numFmtId="164" fontId="3" fillId="2" borderId="0" xfId="0" applyNumberFormat="1" applyFont="1" applyFill="1" applyAlignment="1">
      <alignment horizontal="center"/>
    </xf>
    <xf numFmtId="14" fontId="3" fillId="2" borderId="0" xfId="0" applyNumberFormat="1" applyFont="1" applyFill="1" applyAlignment="1">
      <alignment horizontal="center"/>
    </xf>
    <xf numFmtId="165" fontId="6" fillId="0" borderId="0" xfId="1" applyNumberFormat="1" applyFont="1" applyFill="1" applyAlignment="1">
      <alignment horizontal="center"/>
    </xf>
    <xf numFmtId="165" fontId="4" fillId="0" borderId="1" xfId="1" applyNumberFormat="1" applyFont="1" applyFill="1" applyBorder="1" applyAlignment="1">
      <alignment horizontal="center"/>
    </xf>
    <xf numFmtId="165" fontId="4" fillId="0" borderId="2" xfId="1" applyNumberFormat="1" applyFont="1" applyFill="1" applyBorder="1" applyAlignment="1">
      <alignment horizontal="center"/>
    </xf>
    <xf numFmtId="165" fontId="6" fillId="0" borderId="0" xfId="1" applyNumberFormat="1" applyFont="1" applyAlignment="1">
      <alignment horizontal="right"/>
    </xf>
    <xf numFmtId="167" fontId="4" fillId="0" borderId="0" xfId="1" applyNumberFormat="1" applyFont="1" applyBorder="1" applyAlignment="1">
      <alignment vertical="center" wrapText="1"/>
    </xf>
    <xf numFmtId="165" fontId="4" fillId="0" borderId="0" xfId="1" applyNumberFormat="1" applyFont="1"/>
    <xf numFmtId="165" fontId="6" fillId="0" borderId="1" xfId="1" applyNumberFormat="1" applyFont="1" applyBorder="1"/>
    <xf numFmtId="165" fontId="4" fillId="0" borderId="2" xfId="1" applyNumberFormat="1" applyFont="1" applyBorder="1"/>
    <xf numFmtId="166" fontId="7" fillId="0" borderId="0" xfId="2" applyNumberFormat="1" applyFont="1"/>
    <xf numFmtId="0" fontId="4" fillId="0" borderId="0" xfId="0" quotePrefix="1" applyFont="1" applyAlignment="1">
      <alignment horizontal="center"/>
    </xf>
    <xf numFmtId="165" fontId="4" fillId="0" borderId="0" xfId="0" applyNumberFormat="1" applyFont="1"/>
    <xf numFmtId="0" fontId="6" fillId="0" borderId="0" xfId="0" applyFont="1" applyAlignment="1">
      <alignment horizontal="center"/>
    </xf>
    <xf numFmtId="14" fontId="4" fillId="2" borderId="0" xfId="1" applyNumberFormat="1" applyFont="1" applyFill="1" applyAlignment="1">
      <alignment horizontal="center"/>
    </xf>
    <xf numFmtId="0" fontId="10" fillId="2" borderId="0" xfId="0" applyFont="1" applyFill="1"/>
    <xf numFmtId="0" fontId="8" fillId="0" borderId="0" xfId="0" applyFont="1"/>
    <xf numFmtId="166" fontId="6" fillId="0" borderId="0" xfId="2" applyNumberFormat="1" applyFont="1" applyAlignment="1">
      <alignment vertical="center"/>
    </xf>
    <xf numFmtId="165" fontId="7" fillId="0" borderId="0" xfId="1" applyNumberFormat="1" applyFont="1" applyFill="1" applyAlignment="1">
      <alignment horizontal="center"/>
    </xf>
    <xf numFmtId="14" fontId="3" fillId="2" borderId="3" xfId="0" applyNumberFormat="1" applyFont="1" applyFill="1" applyBorder="1" applyAlignment="1">
      <alignment horizontal="center"/>
    </xf>
    <xf numFmtId="0" fontId="4" fillId="3" borderId="3" xfId="0" applyFont="1" applyFill="1" applyBorder="1" applyAlignment="1">
      <alignment horizontal="center"/>
    </xf>
    <xf numFmtId="167" fontId="4" fillId="0" borderId="0" xfId="1" applyNumberFormat="1" applyFont="1" applyFill="1" applyBorder="1"/>
    <xf numFmtId="0" fontId="4" fillId="3" borderId="21" xfId="1" applyNumberFormat="1" applyFont="1" applyFill="1" applyBorder="1" applyAlignment="1">
      <alignment horizontal="center"/>
    </xf>
    <xf numFmtId="167" fontId="4" fillId="0" borderId="4" xfId="1" applyNumberFormat="1" applyFont="1" applyFill="1" applyBorder="1"/>
    <xf numFmtId="167" fontId="4" fillId="0" borderId="4" xfId="0" applyNumberFormat="1" applyFont="1" applyBorder="1"/>
    <xf numFmtId="167" fontId="4" fillId="0" borderId="2" xfId="0" applyNumberFormat="1" applyFont="1" applyBorder="1"/>
    <xf numFmtId="167" fontId="6" fillId="0" borderId="22" xfId="0" applyNumberFormat="1" applyFont="1" applyBorder="1"/>
    <xf numFmtId="167" fontId="6" fillId="0" borderId="4" xfId="0" applyNumberFormat="1" applyFont="1" applyBorder="1"/>
    <xf numFmtId="167" fontId="4" fillId="0" borderId="6" xfId="0" applyNumberFormat="1" applyFont="1" applyBorder="1"/>
    <xf numFmtId="9" fontId="7" fillId="0" borderId="0" xfId="2" applyFont="1"/>
    <xf numFmtId="9" fontId="7" fillId="0" borderId="4" xfId="2" applyFont="1" applyBorder="1"/>
    <xf numFmtId="0" fontId="4" fillId="3" borderId="3" xfId="0" applyFont="1" applyFill="1" applyBorder="1"/>
    <xf numFmtId="16" fontId="4" fillId="3" borderId="3" xfId="0" quotePrefix="1" applyNumberFormat="1" applyFont="1" applyFill="1" applyBorder="1" applyAlignment="1">
      <alignment horizontal="center"/>
    </xf>
    <xf numFmtId="167" fontId="4" fillId="0" borderId="22" xfId="0" applyNumberFormat="1" applyFont="1" applyBorder="1"/>
    <xf numFmtId="0" fontId="8" fillId="0" borderId="0" xfId="0" applyFont="1" applyAlignment="1">
      <alignment horizontal="center"/>
    </xf>
    <xf numFmtId="0" fontId="4" fillId="3" borderId="19" xfId="0" applyFont="1" applyFill="1" applyBorder="1" applyAlignment="1">
      <alignment horizontal="center"/>
    </xf>
    <xf numFmtId="0" fontId="4" fillId="3" borderId="0" xfId="0" applyFont="1" applyFill="1" applyAlignment="1">
      <alignment horizontal="center"/>
    </xf>
    <xf numFmtId="164" fontId="4" fillId="2" borderId="0" xfId="0" applyNumberFormat="1" applyFont="1" applyFill="1" applyAlignment="1">
      <alignment horizontal="center"/>
    </xf>
    <xf numFmtId="164" fontId="4" fillId="2" borderId="4" xfId="0" applyNumberFormat="1" applyFont="1" applyFill="1" applyBorder="1" applyAlignment="1">
      <alignment horizontal="center"/>
    </xf>
    <xf numFmtId="0" fontId="10" fillId="3" borderId="0" xfId="0" applyFont="1" applyFill="1" applyAlignment="1">
      <alignment horizontal="left"/>
    </xf>
    <xf numFmtId="167" fontId="6" fillId="0" borderId="20" xfId="0" applyNumberFormat="1" applyFont="1" applyBorder="1" applyAlignment="1">
      <alignment horizontal="center"/>
    </xf>
    <xf numFmtId="9" fontId="7" fillId="0" borderId="0" xfId="2" applyFont="1" applyAlignment="1">
      <alignment horizontal="center"/>
    </xf>
    <xf numFmtId="167" fontId="4" fillId="0" borderId="2" xfId="1" applyNumberFormat="1" applyFont="1" applyBorder="1" applyAlignment="1">
      <alignment horizontal="right" vertical="center" wrapText="1"/>
    </xf>
    <xf numFmtId="167" fontId="6" fillId="0" borderId="0" xfId="1" applyNumberFormat="1" applyFont="1" applyBorder="1" applyAlignment="1">
      <alignment horizontal="right" vertical="center" wrapText="1"/>
    </xf>
    <xf numFmtId="167" fontId="6" fillId="0" borderId="1" xfId="1" applyNumberFormat="1" applyFont="1" applyBorder="1" applyAlignment="1">
      <alignment horizontal="right" vertical="center" wrapText="1"/>
    </xf>
    <xf numFmtId="167" fontId="4" fillId="0" borderId="0" xfId="1" applyNumberFormat="1" applyFont="1" applyFill="1" applyBorder="1" applyAlignment="1">
      <alignment horizontal="center"/>
    </xf>
    <xf numFmtId="167" fontId="3" fillId="2" borderId="3" xfId="1" applyNumberFormat="1" applyFont="1" applyFill="1" applyBorder="1" applyAlignment="1">
      <alignment horizontal="center"/>
    </xf>
    <xf numFmtId="167" fontId="6" fillId="0" borderId="0" xfId="1" applyNumberFormat="1" applyFont="1" applyBorder="1" applyAlignment="1">
      <alignment horizontal="center" vertical="center" wrapText="1"/>
    </xf>
    <xf numFmtId="167" fontId="6" fillId="0" borderId="3" xfId="1" applyNumberFormat="1" applyFont="1" applyBorder="1" applyAlignment="1">
      <alignment horizontal="center" vertical="center" wrapText="1"/>
    </xf>
    <xf numFmtId="167" fontId="4" fillId="0" borderId="0" xfId="1" applyNumberFormat="1" applyFont="1" applyFill="1" applyAlignment="1">
      <alignment horizontal="center"/>
    </xf>
    <xf numFmtId="167" fontId="6" fillId="0" borderId="0" xfId="0" applyNumberFormat="1" applyFont="1" applyAlignment="1">
      <alignment horizontal="center"/>
    </xf>
    <xf numFmtId="167" fontId="6" fillId="0" borderId="19" xfId="1" applyNumberFormat="1" applyFont="1" applyBorder="1" applyAlignment="1">
      <alignment horizontal="center"/>
    </xf>
    <xf numFmtId="167" fontId="6" fillId="0" borderId="0" xfId="1" applyNumberFormat="1" applyFont="1" applyBorder="1" applyAlignment="1">
      <alignment horizontal="center"/>
    </xf>
    <xf numFmtId="167" fontId="4" fillId="0" borderId="2" xfId="0" applyNumberFormat="1" applyFont="1" applyBorder="1" applyAlignment="1">
      <alignment horizontal="center"/>
    </xf>
    <xf numFmtId="9" fontId="7" fillId="0" borderId="13" xfId="2" applyFont="1" applyBorder="1" applyAlignment="1">
      <alignment horizontal="center"/>
    </xf>
    <xf numFmtId="9" fontId="7" fillId="0" borderId="14" xfId="2" applyFont="1" applyBorder="1" applyAlignment="1">
      <alignment horizontal="center"/>
    </xf>
    <xf numFmtId="9" fontId="7" fillId="0" borderId="15" xfId="2" applyFont="1" applyBorder="1" applyAlignment="1">
      <alignment horizontal="center"/>
    </xf>
    <xf numFmtId="165" fontId="6" fillId="0" borderId="0" xfId="1" applyNumberFormat="1" applyFont="1" applyFill="1" applyAlignment="1">
      <alignment horizontal="center" vertical="center"/>
    </xf>
    <xf numFmtId="165" fontId="6" fillId="0" borderId="3" xfId="1" applyNumberFormat="1" applyFont="1" applyFill="1" applyBorder="1" applyAlignment="1">
      <alignment horizontal="center" vertical="center"/>
    </xf>
    <xf numFmtId="166" fontId="6" fillId="0" borderId="0" xfId="2" applyNumberFormat="1" applyFont="1" applyAlignment="1">
      <alignment horizontal="right" vertical="center"/>
    </xf>
    <xf numFmtId="166" fontId="6" fillId="0" borderId="3" xfId="2" applyNumberFormat="1" applyFont="1" applyBorder="1" applyAlignment="1">
      <alignment horizontal="right" vertical="center"/>
    </xf>
    <xf numFmtId="165" fontId="6" fillId="0" borderId="7" xfId="1" applyNumberFormat="1" applyFont="1" applyBorder="1" applyAlignment="1">
      <alignment horizontal="center" vertical="center" wrapText="1"/>
    </xf>
    <xf numFmtId="165" fontId="6" fillId="0" borderId="1" xfId="1" applyNumberFormat="1" applyFont="1" applyBorder="1" applyAlignment="1">
      <alignment horizontal="center" vertical="center"/>
    </xf>
    <xf numFmtId="165" fontId="6" fillId="0" borderId="8" xfId="1" applyNumberFormat="1" applyFont="1" applyBorder="1" applyAlignment="1">
      <alignment horizontal="center" vertical="center"/>
    </xf>
    <xf numFmtId="165" fontId="6" fillId="0" borderId="11" xfId="1" applyNumberFormat="1" applyFont="1" applyBorder="1" applyAlignment="1">
      <alignment horizontal="center" vertical="center"/>
    </xf>
    <xf numFmtId="165" fontId="6" fillId="0" borderId="3" xfId="1" applyNumberFormat="1" applyFont="1" applyBorder="1" applyAlignment="1">
      <alignment horizontal="center" vertical="center"/>
    </xf>
    <xf numFmtId="165" fontId="6" fillId="0" borderId="12" xfId="1" applyNumberFormat="1" applyFont="1" applyBorder="1" applyAlignment="1">
      <alignment horizontal="center" vertical="center"/>
    </xf>
    <xf numFmtId="0" fontId="6" fillId="0" borderId="7" xfId="1" applyNumberFormat="1" applyFont="1" applyFill="1" applyBorder="1" applyAlignment="1">
      <alignment horizontal="left" vertical="center" wrapText="1"/>
    </xf>
    <xf numFmtId="0" fontId="6" fillId="0" borderId="1" xfId="1" applyNumberFormat="1" applyFont="1" applyFill="1" applyBorder="1" applyAlignment="1">
      <alignment horizontal="left" vertical="center" wrapText="1"/>
    </xf>
    <xf numFmtId="0" fontId="6" fillId="0" borderId="8" xfId="1" applyNumberFormat="1" applyFont="1" applyFill="1" applyBorder="1" applyAlignment="1">
      <alignment horizontal="left" vertical="center" wrapText="1"/>
    </xf>
    <xf numFmtId="0" fontId="6" fillId="0" borderId="9" xfId="1" applyNumberFormat="1" applyFont="1" applyFill="1" applyBorder="1" applyAlignment="1">
      <alignment horizontal="left" vertical="center" wrapText="1"/>
    </xf>
    <xf numFmtId="0" fontId="6" fillId="0" borderId="0" xfId="1" applyNumberFormat="1" applyFont="1" applyFill="1" applyBorder="1" applyAlignment="1">
      <alignment horizontal="left" vertical="center" wrapText="1"/>
    </xf>
    <xf numFmtId="0" fontId="6" fillId="0" borderId="10" xfId="1" applyNumberFormat="1" applyFont="1" applyFill="1" applyBorder="1" applyAlignment="1">
      <alignment horizontal="left" vertical="center" wrapText="1"/>
    </xf>
    <xf numFmtId="0" fontId="6" fillId="0" borderId="11" xfId="1" applyNumberFormat="1" applyFont="1" applyFill="1" applyBorder="1" applyAlignment="1">
      <alignment horizontal="left" vertical="center" wrapText="1"/>
    </xf>
    <xf numFmtId="0" fontId="6" fillId="0" borderId="3" xfId="1" applyNumberFormat="1" applyFont="1" applyFill="1" applyBorder="1" applyAlignment="1">
      <alignment horizontal="left" vertical="center" wrapText="1"/>
    </xf>
    <xf numFmtId="0" fontId="6" fillId="0" borderId="12" xfId="1" applyNumberFormat="1" applyFont="1" applyFill="1" applyBorder="1" applyAlignment="1">
      <alignment horizontal="left" vertical="center" wrapText="1"/>
    </xf>
    <xf numFmtId="167" fontId="4" fillId="0" borderId="16" xfId="1" applyNumberFormat="1" applyFont="1" applyBorder="1" applyAlignment="1">
      <alignment horizontal="center" vertical="center" wrapText="1"/>
    </xf>
    <xf numFmtId="167" fontId="4" fillId="0" borderId="17" xfId="1" applyNumberFormat="1" applyFont="1" applyBorder="1" applyAlignment="1">
      <alignment horizontal="center" vertical="center" wrapText="1"/>
    </xf>
    <xf numFmtId="167" fontId="4" fillId="0" borderId="18" xfId="1" applyNumberFormat="1" applyFont="1" applyBorder="1" applyAlignment="1">
      <alignment horizontal="center" vertical="center" wrapText="1"/>
    </xf>
    <xf numFmtId="165" fontId="6" fillId="0" borderId="0" xfId="1" applyNumberFormat="1" applyFont="1" applyAlignment="1">
      <alignment horizontal="center" vertical="center"/>
    </xf>
    <xf numFmtId="165" fontId="6" fillId="0" borderId="0" xfId="1" applyNumberFormat="1" applyFont="1" applyBorder="1" applyAlignment="1">
      <alignment horizontal="center" vertical="center"/>
    </xf>
    <xf numFmtId="0" fontId="10" fillId="2" borderId="0" xfId="0" applyFont="1" applyFill="1" applyAlignment="1">
      <alignment horizontal="left"/>
    </xf>
    <xf numFmtId="0" fontId="4" fillId="2" borderId="0" xfId="0" applyFont="1" applyFill="1" applyAlignment="1">
      <alignment horizontal="center"/>
    </xf>
    <xf numFmtId="0" fontId="7" fillId="0" borderId="0" xfId="0" applyFont="1" applyAlignment="1">
      <alignment horizontal="center"/>
    </xf>
    <xf numFmtId="166" fontId="6" fillId="0" borderId="13" xfId="2" applyNumberFormat="1" applyFont="1" applyBorder="1" applyAlignment="1">
      <alignment horizontal="center"/>
    </xf>
    <xf numFmtId="166" fontId="6" fillId="0" borderId="14" xfId="2" applyNumberFormat="1" applyFont="1" applyBorder="1" applyAlignment="1">
      <alignment horizontal="center"/>
    </xf>
    <xf numFmtId="166" fontId="6" fillId="0" borderId="15" xfId="2" applyNumberFormat="1" applyFont="1" applyBorder="1" applyAlignment="1">
      <alignment horizontal="center"/>
    </xf>
    <xf numFmtId="165" fontId="6" fillId="0" borderId="13" xfId="1" applyNumberFormat="1" applyFont="1" applyBorder="1" applyAlignment="1">
      <alignment horizontal="center"/>
    </xf>
    <xf numFmtId="165" fontId="6" fillId="0" borderId="14" xfId="1" applyNumberFormat="1" applyFont="1" applyBorder="1" applyAlignment="1">
      <alignment horizontal="center"/>
    </xf>
    <xf numFmtId="165" fontId="6" fillId="0" borderId="15" xfId="1" applyNumberFormat="1" applyFont="1" applyBorder="1" applyAlignment="1">
      <alignment horizontal="center"/>
    </xf>
    <xf numFmtId="167" fontId="6" fillId="0" borderId="7" xfId="1" applyNumberFormat="1" applyFont="1" applyBorder="1" applyAlignment="1">
      <alignment horizontal="center" vertical="center"/>
    </xf>
    <xf numFmtId="167" fontId="6" fillId="0" borderId="1" xfId="1" applyNumberFormat="1" applyFont="1" applyBorder="1" applyAlignment="1">
      <alignment horizontal="center" vertical="center"/>
    </xf>
    <xf numFmtId="167" fontId="6" fillId="0" borderId="8" xfId="1" applyNumberFormat="1" applyFont="1" applyBorder="1" applyAlignment="1">
      <alignment horizontal="center" vertical="center"/>
    </xf>
    <xf numFmtId="167" fontId="6" fillId="0" borderId="9" xfId="1" applyNumberFormat="1" applyFont="1" applyBorder="1" applyAlignment="1">
      <alignment horizontal="center" vertical="center"/>
    </xf>
    <xf numFmtId="167" fontId="6" fillId="0" borderId="0" xfId="1" applyNumberFormat="1" applyFont="1" applyBorder="1" applyAlignment="1">
      <alignment horizontal="center" vertical="center"/>
    </xf>
    <xf numFmtId="167" fontId="6" fillId="0" borderId="10" xfId="1" applyNumberFormat="1" applyFont="1" applyBorder="1" applyAlignment="1">
      <alignment horizontal="center" vertical="center"/>
    </xf>
    <xf numFmtId="167" fontId="6" fillId="0" borderId="11" xfId="1" applyNumberFormat="1" applyFont="1" applyBorder="1" applyAlignment="1">
      <alignment horizontal="center" vertical="center"/>
    </xf>
    <xf numFmtId="167" fontId="6" fillId="0" borderId="3" xfId="1" applyNumberFormat="1" applyFont="1" applyBorder="1" applyAlignment="1">
      <alignment horizontal="center" vertical="center"/>
    </xf>
    <xf numFmtId="167" fontId="6" fillId="0" borderId="12" xfId="1" applyNumberFormat="1" applyFont="1" applyBorder="1" applyAlignment="1">
      <alignment horizontal="center" vertical="center"/>
    </xf>
  </cellXfs>
  <cellStyles count="4">
    <cellStyle name="Comma" xfId="1" builtinId="3"/>
    <cellStyle name="Normal" xfId="0" builtinId="0"/>
    <cellStyle name="Normal 2" xfId="3" xr:uid="{53A16C05-6356-C24A-B1D5-7FDD38FA7E37}"/>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Gross Margin: 2005 to 2022</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'Operating Summary (Annual)'!$A$20</c:f>
              <c:strCache>
                <c:ptCount val="1"/>
                <c:pt idx="0">
                  <c:v>Gross margin</c:v>
                </c:pt>
              </c:strCache>
            </c:strRef>
          </c:tx>
          <c:spPr>
            <a:ln w="28575" cap="rnd">
              <a:solidFill>
                <a:schemeClr val="accent1"/>
              </a:solidFill>
              <a:round/>
            </a:ln>
            <a:effectLst/>
          </c:spPr>
          <c:marker>
            <c:symbol val="none"/>
          </c:marker>
          <c:cat>
            <c:numRef>
              <c:f>('Operating Summary (Annual)'!$B$4,'Operating Summary (Annual)'!$D$4:$T$4)</c:f>
              <c:numCache>
                <c:formatCode>General</c:formatCode>
                <c:ptCount val="18"/>
                <c:pt idx="0" formatCode="m/d/yy">
                  <c:v>44834</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numCache>
            </c:numRef>
          </c:cat>
          <c:val>
            <c:numRef>
              <c:f>('Operating Summary (Annual)'!$B$20,'Operating Summary (Annual)'!$D$20:$T$20)</c:f>
              <c:numCache>
                <c:formatCode>0.0%</c:formatCode>
                <c:ptCount val="18"/>
                <c:pt idx="0">
                  <c:v>0.46308420056764427</c:v>
                </c:pt>
                <c:pt idx="1">
                  <c:v>0.46202731704070937</c:v>
                </c:pt>
                <c:pt idx="2">
                  <c:v>0.4546951640607016</c:v>
                </c:pt>
                <c:pt idx="3">
                  <c:v>0.4716050771509458</c:v>
                </c:pt>
                <c:pt idx="4">
                  <c:v>0.4831524037783731</c:v>
                </c:pt>
                <c:pt idx="5">
                  <c:v>0.49279125384352579</c:v>
                </c:pt>
                <c:pt idx="6">
                  <c:v>0.49591115598182733</c:v>
                </c:pt>
                <c:pt idx="7">
                  <c:v>0.50369585444019438</c:v>
                </c:pt>
                <c:pt idx="8">
                  <c:v>0.50820903777601056</c:v>
                </c:pt>
                <c:pt idx="9">
                  <c:v>0.51695436044431542</c:v>
                </c:pt>
                <c:pt idx="10">
                  <c:v>0.51523354939099952</c:v>
                </c:pt>
                <c:pt idx="11">
                  <c:v>0.51833938773172039</c:v>
                </c:pt>
                <c:pt idx="12">
                  <c:v>0.51766953620469269</c:v>
                </c:pt>
                <c:pt idx="13">
                  <c:v>0.50946470292644264</c:v>
                </c:pt>
                <c:pt idx="14">
                  <c:v>0.52814852003375456</c:v>
                </c:pt>
                <c:pt idx="15">
                  <c:v>0.50808242624595079</c:v>
                </c:pt>
                <c:pt idx="16">
                  <c:v>0.5016616583864697</c:v>
                </c:pt>
                <c:pt idx="17">
                  <c:v>0.49766072158877933</c:v>
                </c:pt>
              </c:numCache>
            </c:numRef>
          </c:val>
          <c:smooth val="0"/>
          <c:extLst>
            <c:ext xmlns:c16="http://schemas.microsoft.com/office/drawing/2014/chart" uri="{C3380CC4-5D6E-409C-BE32-E72D297353CC}">
              <c16:uniqueId val="{00000000-0D80-BD4C-B8A4-48DB537320C8}"/>
            </c:ext>
          </c:extLst>
        </c:ser>
        <c:dLbls>
          <c:showLegendKey val="0"/>
          <c:showVal val="0"/>
          <c:showCatName val="0"/>
          <c:showSerName val="0"/>
          <c:showPercent val="0"/>
          <c:showBubbleSize val="0"/>
        </c:dLbls>
        <c:smooth val="0"/>
        <c:axId val="2113156847"/>
        <c:axId val="2113789759"/>
      </c:lineChart>
      <c:catAx>
        <c:axId val="2113156847"/>
        <c:scaling>
          <c:orientation val="maxMin"/>
        </c:scaling>
        <c:delete val="0"/>
        <c:axPos val="b"/>
        <c:numFmt formatCode="m/d/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2113789759"/>
        <c:crosses val="autoZero"/>
        <c:auto val="1"/>
        <c:lblAlgn val="ctr"/>
        <c:lblOffset val="100"/>
        <c:noMultiLvlLbl val="0"/>
      </c:catAx>
      <c:valAx>
        <c:axId val="2113789759"/>
        <c:scaling>
          <c:orientation val="minMax"/>
          <c:min val="0.44000000000000006"/>
        </c:scaling>
        <c:delete val="0"/>
        <c:axPos val="r"/>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21131568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b="1"/>
              <a:t>Operating </a:t>
            </a:r>
            <a:r>
              <a:rPr lang="en-US" sz="2400" b="1" baseline="0"/>
              <a:t>M</a:t>
            </a:r>
            <a:r>
              <a:rPr lang="en-US" sz="2400" b="1"/>
              <a:t>argin: 2005 to 2022</a:t>
            </a:r>
          </a:p>
        </c:rich>
      </c:tx>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'Operating Summary (Annual)'!$A$21</c:f>
              <c:strCache>
                <c:ptCount val="1"/>
                <c:pt idx="0">
                  <c:v>Operating margin</c:v>
                </c:pt>
              </c:strCache>
            </c:strRef>
          </c:tx>
          <c:spPr>
            <a:ln w="28575" cap="rnd">
              <a:solidFill>
                <a:schemeClr val="accent1"/>
              </a:solidFill>
              <a:round/>
            </a:ln>
            <a:effectLst/>
          </c:spPr>
          <c:marker>
            <c:symbol val="none"/>
          </c:marker>
          <c:cat>
            <c:numRef>
              <c:f>('Operating Summary (Annual)'!$B$4,'Operating Summary (Annual)'!$D$4:$T$4)</c:f>
              <c:numCache>
                <c:formatCode>General</c:formatCode>
                <c:ptCount val="18"/>
                <c:pt idx="0" formatCode="m/d/yy">
                  <c:v>44834</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numCache>
            </c:numRef>
          </c:cat>
          <c:val>
            <c:numRef>
              <c:f>('Operating Summary (Annual)'!$B$21,'Operating Summary (Annual)'!$D$21:$T$21)</c:f>
              <c:numCache>
                <c:formatCode>0.0%</c:formatCode>
                <c:ptCount val="18"/>
                <c:pt idx="0">
                  <c:v>0.21205298013245033</c:v>
                </c:pt>
                <c:pt idx="1">
                  <c:v>0.20253206674541249</c:v>
                </c:pt>
                <c:pt idx="2">
                  <c:v>0.20218511501071312</c:v>
                </c:pt>
                <c:pt idx="3">
                  <c:v>0.19821137296810837</c:v>
                </c:pt>
                <c:pt idx="4">
                  <c:v>0.2012446879216935</c:v>
                </c:pt>
                <c:pt idx="5">
                  <c:v>0.20084272861860836</c:v>
                </c:pt>
                <c:pt idx="6">
                  <c:v>0.20085815244825844</c:v>
                </c:pt>
                <c:pt idx="7">
                  <c:v>0.21420448671560011</c:v>
                </c:pt>
                <c:pt idx="8">
                  <c:v>0.21095179411743437</c:v>
                </c:pt>
                <c:pt idx="9">
                  <c:v>0.21426166213584297</c:v>
                </c:pt>
                <c:pt idx="10">
                  <c:v>0.2149910469728365</c:v>
                </c:pt>
                <c:pt idx="11">
                  <c:v>0.20767556279521293</c:v>
                </c:pt>
                <c:pt idx="12">
                  <c:v>0.1893344307990717</c:v>
                </c:pt>
                <c:pt idx="13">
                  <c:v>0.15323442105753934</c:v>
                </c:pt>
                <c:pt idx="14">
                  <c:v>0.19237403463046246</c:v>
                </c:pt>
                <c:pt idx="15">
                  <c:v>0.18256937199628095</c:v>
                </c:pt>
                <c:pt idx="16">
                  <c:v>0.17677303896399615</c:v>
                </c:pt>
                <c:pt idx="17">
                  <c:v>0.17584073869600414</c:v>
                </c:pt>
              </c:numCache>
            </c:numRef>
          </c:val>
          <c:smooth val="0"/>
          <c:extLst>
            <c:ext xmlns:c16="http://schemas.microsoft.com/office/drawing/2014/chart" uri="{C3380CC4-5D6E-409C-BE32-E72D297353CC}">
              <c16:uniqueId val="{00000000-BFD5-B349-87DF-011B6E7F960F}"/>
            </c:ext>
          </c:extLst>
        </c:ser>
        <c:dLbls>
          <c:showLegendKey val="0"/>
          <c:showVal val="0"/>
          <c:showCatName val="0"/>
          <c:showSerName val="0"/>
          <c:showPercent val="0"/>
          <c:showBubbleSize val="0"/>
        </c:dLbls>
        <c:smooth val="0"/>
        <c:axId val="2107938735"/>
        <c:axId val="2107007103"/>
      </c:lineChart>
      <c:catAx>
        <c:axId val="2107938735"/>
        <c:scaling>
          <c:orientation val="maxMin"/>
        </c:scaling>
        <c:delete val="0"/>
        <c:axPos val="b"/>
        <c:numFmt formatCode="m/d/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2107007103"/>
        <c:crosses val="autoZero"/>
        <c:auto val="1"/>
        <c:lblAlgn val="ctr"/>
        <c:lblOffset val="100"/>
        <c:noMultiLvlLbl val="0"/>
      </c:catAx>
      <c:valAx>
        <c:axId val="2107007103"/>
        <c:scaling>
          <c:orientation val="minMax"/>
          <c:max val="0.24000000000000002"/>
          <c:min val="0.12000000000000001"/>
        </c:scaling>
        <c:delete val="0"/>
        <c:axPos val="r"/>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21079387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r>
              <a:rPr lang="en-US" sz="2400"/>
              <a:t>Assets</a:t>
            </a:r>
            <a:r>
              <a:rPr lang="en-US" sz="2400" baseline="0"/>
              <a:t> as of 9/30/2022: $4.6 Billion</a:t>
            </a:r>
            <a:endParaRPr lang="en-US" sz="2400"/>
          </a:p>
        </c:rich>
      </c:tx>
      <c:layout>
        <c:manualLayout>
          <c:xMode val="edge"/>
          <c:yMode val="edge"/>
          <c:x val="0.24873338522030061"/>
          <c:y val="4.9920274221633282E-2"/>
        </c:manualLayout>
      </c:layout>
      <c:overlay val="0"/>
      <c:spPr>
        <a:noFill/>
        <a:ln>
          <a:noFill/>
        </a:ln>
        <a:effectLst/>
      </c:spPr>
      <c:txPr>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endParaRPr lang="en-US"/>
        </a:p>
      </c:txPr>
    </c:title>
    <c:autoTitleDeleted val="0"/>
    <c:view3D>
      <c:rotX val="30"/>
      <c:rotY val="200"/>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C68B-BA4D-B7E8-74248CDBA94E}"/>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C68B-BA4D-B7E8-74248CDBA94E}"/>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C68B-BA4D-B7E8-74248CDBA94E}"/>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C68B-BA4D-B7E8-74248CDBA94E}"/>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C68B-BA4D-B7E8-74248CDBA94E}"/>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C68B-BA4D-B7E8-74248CDBA94E}"/>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C68B-BA4D-B7E8-74248CDBA94E}"/>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C68B-BA4D-B7E8-74248CDBA94E}"/>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C68B-BA4D-B7E8-74248CDBA94E}"/>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C68B-BA4D-B7E8-74248CDBA94E}"/>
              </c:ext>
            </c:extLst>
          </c:dPt>
          <c:dLbls>
            <c:dLbl>
              <c:idx val="0"/>
              <c:layout>
                <c:manualLayout>
                  <c:x val="-2.2886498943729596E-2"/>
                  <c:y val="5.5662391992377866E-3"/>
                </c:manualLayout>
              </c:layout>
              <c:tx>
                <c:rich>
                  <a:bodyPr rot="0" spcFirstLastPara="1" vertOverflow="ellipsis" vert="horz" wrap="square" lIns="38100" tIns="19050" rIns="38100" bIns="19050" anchor="ctr" anchorCtr="1">
                    <a:spAutoFit/>
                  </a:bodyPr>
                  <a:lstStyle/>
                  <a:p>
                    <a:pPr>
                      <a:defRPr sz="1800" b="1" i="0" u="none" strike="noStrike" kern="1200" spc="0" baseline="0">
                        <a:solidFill>
                          <a:schemeClr val="accent1"/>
                        </a:solidFill>
                        <a:latin typeface="+mn-lt"/>
                        <a:ea typeface="+mn-ea"/>
                        <a:cs typeface="+mn-cs"/>
                      </a:defRPr>
                    </a:pPr>
                    <a:r>
                      <a:rPr lang="en-US" sz="1800"/>
                      <a:t>Cash</a:t>
                    </a:r>
                  </a:p>
                  <a:p>
                    <a:pPr>
                      <a:defRPr sz="1800"/>
                    </a:pPr>
                    <a:r>
                      <a:rPr lang="en-US" sz="1800" baseline="0"/>
                      <a:t>Equivalents
</a:t>
                    </a:r>
                    <a:fld id="{8228939F-C5F9-7544-848A-882AEE2271F7}" type="PERCENTAGE">
                      <a:rPr lang="en-US" sz="1800" baseline="0"/>
                      <a:pPr>
                        <a:defRPr sz="1800"/>
                      </a:pPr>
                      <a:t>[PERCENTAGE]</a:t>
                    </a:fld>
                    <a:endParaRPr lang="en-US" sz="1800" baseline="0"/>
                  </a:p>
                </c:rich>
              </c:tx>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C68B-BA4D-B7E8-74248CDBA94E}"/>
                </c:ext>
              </c:extLst>
            </c:dLbl>
            <c:dLbl>
              <c:idx val="1"/>
              <c:delete val="1"/>
              <c:extLst>
                <c:ext xmlns:c15="http://schemas.microsoft.com/office/drawing/2012/chart" uri="{CE6537A1-D6FC-4f65-9D91-7224C49458BB}"/>
                <c:ext xmlns:c16="http://schemas.microsoft.com/office/drawing/2014/chart" uri="{C3380CC4-5D6E-409C-BE32-E72D297353CC}">
                  <c16:uniqueId val="{00000003-C68B-BA4D-B7E8-74248CDBA94E}"/>
                </c:ext>
              </c:extLst>
            </c:dLbl>
            <c:dLbl>
              <c:idx val="2"/>
              <c:layout>
                <c:manualLayout>
                  <c:x val="0"/>
                  <c:y val="-0.20533661838525946"/>
                </c:manualLayout>
              </c:layout>
              <c:tx>
                <c:rich>
                  <a:bodyPr rot="0" spcFirstLastPara="1" vertOverflow="ellipsis" vert="horz" wrap="square" lIns="38100" tIns="19050" rIns="38100" bIns="19050" anchor="ctr" anchorCtr="1">
                    <a:spAutoFit/>
                  </a:bodyPr>
                  <a:lstStyle/>
                  <a:p>
                    <a:pPr>
                      <a:defRPr sz="1800" b="1" i="0" u="none" strike="noStrike" kern="1200" spc="0" baseline="0">
                        <a:solidFill>
                          <a:schemeClr val="accent1"/>
                        </a:solidFill>
                        <a:latin typeface="+mn-lt"/>
                        <a:ea typeface="+mn-ea"/>
                        <a:cs typeface="+mn-cs"/>
                      </a:defRPr>
                    </a:pPr>
                    <a:r>
                      <a:rPr lang="en-US" sz="1800"/>
                      <a:t>Trade Accounts Receivable</a:t>
                    </a:r>
                    <a:r>
                      <a:rPr lang="en-US" sz="1800" baseline="0"/>
                      <a:t>
</a:t>
                    </a:r>
                    <a:fld id="{2CA416B3-3BD4-EF41-9399-E4C4B098CBB7}" type="PERCENTAGE">
                      <a:rPr lang="en-US" sz="1800" baseline="0"/>
                      <a:pPr>
                        <a:defRPr sz="1800">
                          <a:solidFill>
                            <a:schemeClr val="accent1"/>
                          </a:solidFill>
                        </a:defRPr>
                      </a:pPr>
                      <a:t>[PERCENTAGE]</a:t>
                    </a:fld>
                    <a:endParaRPr lang="en-US" sz="1800" baseline="0"/>
                  </a:p>
                </c:rich>
              </c:tx>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C68B-BA4D-B7E8-74248CDBA94E}"/>
                </c:ext>
              </c:extLst>
            </c:dLbl>
            <c:dLbl>
              <c:idx val="3"/>
              <c:layout>
                <c:manualLayout>
                  <c:x val="-7.1538427771752372E-2"/>
                  <c:y val="-8.7410019485812361E-3"/>
                </c:manualLayout>
              </c:layout>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accent4"/>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68B-BA4D-B7E8-74248CDBA94E}"/>
                </c:ext>
              </c:extLst>
            </c:dLbl>
            <c:dLbl>
              <c:idx val="4"/>
              <c:delete val="1"/>
              <c:extLst>
                <c:ext xmlns:c15="http://schemas.microsoft.com/office/drawing/2012/chart" uri="{CE6537A1-D6FC-4f65-9D91-7224C49458BB}"/>
                <c:ext xmlns:c16="http://schemas.microsoft.com/office/drawing/2014/chart" uri="{C3380CC4-5D6E-409C-BE32-E72D297353CC}">
                  <c16:uniqueId val="{00000009-C68B-BA4D-B7E8-74248CDBA94E}"/>
                </c:ext>
              </c:extLst>
            </c:dLbl>
            <c:dLbl>
              <c:idx val="5"/>
              <c:delete val="1"/>
              <c:extLst>
                <c:ext xmlns:c15="http://schemas.microsoft.com/office/drawing/2012/chart" uri="{CE6537A1-D6FC-4f65-9D91-7224C49458BB}"/>
                <c:ext xmlns:c16="http://schemas.microsoft.com/office/drawing/2014/chart" uri="{C3380CC4-5D6E-409C-BE32-E72D297353CC}">
                  <c16:uniqueId val="{0000000B-C68B-BA4D-B7E8-74248CDBA94E}"/>
                </c:ext>
              </c:extLst>
            </c:dLbl>
            <c:dLbl>
              <c:idx val="6"/>
              <c:layout>
                <c:manualLayout>
                  <c:x val="0"/>
                  <c:y val="-1.4709871745065264E-2"/>
                </c:manualLayout>
              </c:layout>
              <c:tx>
                <c:rich>
                  <a:bodyPr rot="0" spcFirstLastPara="1" vertOverflow="ellipsis" vert="horz" wrap="square" lIns="38100" tIns="19050" rIns="38100" bIns="19050" anchor="ctr" anchorCtr="1">
                    <a:spAutoFit/>
                  </a:bodyPr>
                  <a:lstStyle/>
                  <a:p>
                    <a:pPr>
                      <a:defRPr sz="1800" b="1" i="0" u="none" strike="noStrike" kern="1200" spc="0" baseline="0">
                        <a:solidFill>
                          <a:schemeClr val="accent1"/>
                        </a:solidFill>
                        <a:latin typeface="+mn-lt"/>
                        <a:ea typeface="+mn-ea"/>
                        <a:cs typeface="+mn-cs"/>
                      </a:defRPr>
                    </a:pPr>
                    <a:r>
                      <a:rPr lang="en-US" sz="1800"/>
                      <a:t>Other </a:t>
                    </a:r>
                  </a:p>
                  <a:p>
                    <a:pPr>
                      <a:defRPr sz="1800">
                        <a:solidFill>
                          <a:schemeClr val="accent1"/>
                        </a:solidFill>
                      </a:defRPr>
                    </a:pPr>
                    <a:r>
                      <a:rPr lang="en-US" sz="1800"/>
                      <a:t>Current</a:t>
                    </a:r>
                  </a:p>
                  <a:p>
                    <a:pPr>
                      <a:defRPr sz="1800">
                        <a:solidFill>
                          <a:schemeClr val="accent1"/>
                        </a:solidFill>
                      </a:defRPr>
                    </a:pPr>
                    <a:r>
                      <a:rPr lang="en-US" sz="1800" baseline="0"/>
                      <a:t>Assets
</a:t>
                    </a:r>
                    <a:fld id="{A7218A79-8122-1D41-A819-ADCEA1B4A873}" type="PERCENTAGE">
                      <a:rPr lang="en-US" sz="1800" baseline="0"/>
                      <a:pPr>
                        <a:defRPr sz="1800">
                          <a:solidFill>
                            <a:schemeClr val="accent1"/>
                          </a:solidFill>
                        </a:defRPr>
                      </a:pPr>
                      <a:t>[PERCENTAGE]</a:t>
                    </a:fld>
                    <a:endParaRPr lang="en-US" sz="1800" baseline="0"/>
                  </a:p>
                </c:rich>
              </c:tx>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68B-BA4D-B7E8-74248CDBA94E}"/>
                </c:ext>
              </c:extLst>
            </c:dLbl>
            <c:dLbl>
              <c:idx val="7"/>
              <c:layout>
                <c:manualLayout>
                  <c:x val="-1.0149763989975512E-2"/>
                  <c:y val="2.5528388852886181E-2"/>
                </c:manualLayout>
              </c:layout>
              <c:tx>
                <c:rich>
                  <a:bodyPr rot="0" spcFirstLastPara="1" vertOverflow="ellipsis" vert="horz" wrap="square" lIns="38100" tIns="19050" rIns="38100" bIns="19050" anchor="ctr" anchorCtr="1">
                    <a:spAutoFit/>
                  </a:bodyPr>
                  <a:lstStyle/>
                  <a:p>
                    <a:pPr>
                      <a:defRPr sz="1800" b="1" i="0" u="none" strike="noStrike" kern="1200" spc="0" baseline="0">
                        <a:solidFill>
                          <a:schemeClr val="accent1"/>
                        </a:solidFill>
                        <a:latin typeface="+mn-lt"/>
                        <a:ea typeface="+mn-ea"/>
                        <a:cs typeface="+mn-cs"/>
                      </a:defRPr>
                    </a:pPr>
                    <a:r>
                      <a:rPr lang="en-US" sz="1800"/>
                      <a:t>Property</a:t>
                    </a:r>
                    <a:r>
                      <a:rPr lang="en-US" sz="1800" baseline="0"/>
                      <a:t> and</a:t>
                    </a:r>
                  </a:p>
                  <a:p>
                    <a:pPr>
                      <a:defRPr sz="1800">
                        <a:solidFill>
                          <a:schemeClr val="accent1"/>
                        </a:solidFill>
                      </a:defRPr>
                    </a:pPr>
                    <a:r>
                      <a:rPr lang="en-US" sz="1800" baseline="0"/>
                      <a:t>Equipment
</a:t>
                    </a:r>
                    <a:fld id="{79F960AD-EB29-984E-B414-DEF999D98DA1}" type="PERCENTAGE">
                      <a:rPr lang="en-US" sz="1800" baseline="0"/>
                      <a:pPr>
                        <a:defRPr sz="1800">
                          <a:solidFill>
                            <a:schemeClr val="accent1"/>
                          </a:solidFill>
                        </a:defRPr>
                      </a:pPr>
                      <a:t>[PERCENTAGE]</a:t>
                    </a:fld>
                    <a:endParaRPr lang="en-US" sz="1800" baseline="0"/>
                  </a:p>
                </c:rich>
              </c:tx>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C68B-BA4D-B7E8-74248CDBA94E}"/>
                </c:ext>
              </c:extLst>
            </c:dLbl>
            <c:dLbl>
              <c:idx val="8"/>
              <c:layout>
                <c:manualLayout>
                  <c:x val="5.4833820840840706E-3"/>
                  <c:y val="1.177131873849181E-2"/>
                </c:manualLayout>
              </c:layout>
              <c:tx>
                <c:rich>
                  <a:bodyPr rot="0" spcFirstLastPara="1" vertOverflow="ellipsis" vert="horz" wrap="square" lIns="38100" tIns="19050" rIns="38100" bIns="19050" anchor="ctr" anchorCtr="1">
                    <a:spAutoFit/>
                  </a:bodyPr>
                  <a:lstStyle/>
                  <a:p>
                    <a:pPr>
                      <a:defRPr sz="1800" b="1" i="0" u="none" strike="noStrike" kern="1200" spc="0" baseline="0">
                        <a:solidFill>
                          <a:schemeClr val="accent1"/>
                        </a:solidFill>
                        <a:latin typeface="+mn-lt"/>
                        <a:ea typeface="+mn-ea"/>
                        <a:cs typeface="+mn-cs"/>
                      </a:defRPr>
                    </a:pPr>
                    <a:r>
                      <a:rPr lang="en-US" sz="1800"/>
                      <a:t>Operating</a:t>
                    </a:r>
                  </a:p>
                  <a:p>
                    <a:pPr>
                      <a:defRPr sz="1800">
                        <a:solidFill>
                          <a:schemeClr val="accent1"/>
                        </a:solidFill>
                      </a:defRPr>
                    </a:pPr>
                    <a:r>
                      <a:rPr lang="en-US" sz="1800" baseline="0"/>
                      <a:t>Lease Assets
</a:t>
                    </a:r>
                    <a:fld id="{FEF02680-2640-0D4F-ADD3-ACE717AB7682}" type="PERCENTAGE">
                      <a:rPr lang="en-US" sz="1800" baseline="0"/>
                      <a:pPr>
                        <a:defRPr sz="1800">
                          <a:solidFill>
                            <a:schemeClr val="accent1"/>
                          </a:solidFill>
                        </a:defRPr>
                      </a:pPr>
                      <a:t>[PERCENTAGE]</a:t>
                    </a:fld>
                    <a:endParaRPr lang="en-US" sz="1800" baseline="0"/>
                  </a:p>
                </c:rich>
              </c:tx>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C68B-BA4D-B7E8-74248CDBA94E}"/>
                </c:ext>
              </c:extLst>
            </c:dLbl>
            <c:dLbl>
              <c:idx val="9"/>
              <c:layout>
                <c:manualLayout>
                  <c:x val="4.4972993493864334E-2"/>
                  <c:y val="2.3393428931695132E-2"/>
                </c:manualLayout>
              </c:layout>
              <c:tx>
                <c:rich>
                  <a:bodyPr rot="0" spcFirstLastPara="1" vertOverflow="ellipsis" vert="horz" wrap="square" lIns="38100" tIns="19050" rIns="38100" bIns="19050" anchor="ctr" anchorCtr="1">
                    <a:spAutoFit/>
                  </a:bodyPr>
                  <a:lstStyle/>
                  <a:p>
                    <a:pPr>
                      <a:defRPr sz="1800" b="1" i="0" u="none" strike="noStrike" kern="1200" spc="0" baseline="0">
                        <a:solidFill>
                          <a:schemeClr val="accent1"/>
                        </a:solidFill>
                        <a:latin typeface="+mn-lt"/>
                        <a:ea typeface="+mn-ea"/>
                        <a:cs typeface="+mn-cs"/>
                      </a:defRPr>
                    </a:pPr>
                    <a:r>
                      <a:rPr lang="en-US" sz="1800"/>
                      <a:t>Other Assets</a:t>
                    </a:r>
                    <a:r>
                      <a:rPr lang="en-US" sz="1800" baseline="0"/>
                      <a:t>
</a:t>
                    </a:r>
                    <a:fld id="{629B93F5-3577-1C49-992B-AAB1F5D29646}" type="PERCENTAGE">
                      <a:rPr lang="en-US" sz="1800" baseline="0"/>
                      <a:pPr>
                        <a:defRPr sz="1800">
                          <a:solidFill>
                            <a:schemeClr val="accent1"/>
                          </a:solidFill>
                        </a:defRPr>
                      </a:pPr>
                      <a:t>[PERCENTAGE]</a:t>
                    </a:fld>
                    <a:endParaRPr lang="en-US" sz="1800" baseline="0"/>
                  </a:p>
                </c:rich>
              </c:tx>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3-C68B-BA4D-B7E8-74248CDBA94E}"/>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('Balance Sheet (Annual)'!$A$6:$A$12,'Balance Sheet (Annual)'!$A$15:$A$17)</c:f>
              <c:strCache>
                <c:ptCount val="10"/>
                <c:pt idx="0">
                  <c:v>  Cash and cash equivalents</c:v>
                </c:pt>
                <c:pt idx="1">
                  <c:v>  Marketable  securities</c:v>
                </c:pt>
                <c:pt idx="2">
                  <c:v>  Trade accounts receivable, net of allowance for credit losses</c:v>
                </c:pt>
                <c:pt idx="3">
                  <c:v>  Inventories</c:v>
                </c:pt>
                <c:pt idx="4">
                  <c:v>  Deferred income taxes</c:v>
                </c:pt>
                <c:pt idx="5">
                  <c:v>  Prepaid income taxes</c:v>
                </c:pt>
                <c:pt idx="6">
                  <c:v>  Other current assets</c:v>
                </c:pt>
                <c:pt idx="7">
                  <c:v>Property and equipment, net</c:v>
                </c:pt>
                <c:pt idx="8">
                  <c:v>Operating lease right-of-use assets</c:v>
                </c:pt>
                <c:pt idx="9">
                  <c:v>Other assets, net</c:v>
                </c:pt>
              </c:strCache>
            </c:strRef>
          </c:cat>
          <c:val>
            <c:numRef>
              <c:f>('Balance Sheet (Annual)'!$B$6:$B$12,'Balance Sheet (Annual)'!$B$15:$B$17)</c:f>
              <c:numCache>
                <c:formatCode>_(* #,##0.0_);_(* \(#,##0.0\);_(* "-"??_);_(@_)</c:formatCode>
                <c:ptCount val="10"/>
                <c:pt idx="0">
                  <c:v>231.5</c:v>
                </c:pt>
                <c:pt idx="1">
                  <c:v>0</c:v>
                </c:pt>
                <c:pt idx="2">
                  <c:v>1110.5999999999999</c:v>
                </c:pt>
                <c:pt idx="3">
                  <c:v>1678.1</c:v>
                </c:pt>
                <c:pt idx="4">
                  <c:v>0</c:v>
                </c:pt>
                <c:pt idx="5">
                  <c:v>3.2</c:v>
                </c:pt>
                <c:pt idx="6">
                  <c:v>172.2</c:v>
                </c:pt>
                <c:pt idx="7">
                  <c:v>1008.5</c:v>
                </c:pt>
                <c:pt idx="8">
                  <c:v>249.8</c:v>
                </c:pt>
                <c:pt idx="9">
                  <c:v>173.5</c:v>
                </c:pt>
              </c:numCache>
            </c:numRef>
          </c:val>
          <c:extLst>
            <c:ext xmlns:c16="http://schemas.microsoft.com/office/drawing/2014/chart" uri="{C3380CC4-5D6E-409C-BE32-E72D297353CC}">
              <c16:uniqueId val="{00000014-C68B-BA4D-B7E8-74248CDBA94E}"/>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r>
              <a:rPr lang="en-US" sz="2400"/>
              <a:t>Liabilities and equity</a:t>
            </a:r>
            <a:r>
              <a:rPr lang="en-US" sz="2400" baseline="0"/>
              <a:t> as of 9/30/22: $4.6 Billion</a:t>
            </a:r>
            <a:endParaRPr lang="en-US" sz="2400"/>
          </a:p>
        </c:rich>
      </c:tx>
      <c:layout>
        <c:manualLayout>
          <c:xMode val="edge"/>
          <c:yMode val="edge"/>
          <c:x val="0.16092620633959218"/>
          <c:y val="5.3979232871511004E-2"/>
        </c:manualLayout>
      </c:layout>
      <c:overlay val="0"/>
      <c:spPr>
        <a:noFill/>
        <a:ln>
          <a:noFill/>
        </a:ln>
        <a:effectLst/>
      </c:spPr>
      <c:txPr>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endParaRPr lang="en-US"/>
        </a:p>
      </c:txPr>
    </c:title>
    <c:autoTitleDeleted val="0"/>
    <c:view3D>
      <c:rotX val="30"/>
      <c:rotY val="9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4A1-7A48-865D-6AD44E3E8F49}"/>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4A1-7A48-865D-6AD44E3E8F49}"/>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4A1-7A48-865D-6AD44E3E8F49}"/>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A4A1-7A48-865D-6AD44E3E8F49}"/>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A4A1-7A48-865D-6AD44E3E8F49}"/>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A4A1-7A48-865D-6AD44E3E8F49}"/>
              </c:ext>
            </c:extLst>
          </c:dPt>
          <c:dLbls>
            <c:dLbl>
              <c:idx val="0"/>
              <c:layout>
                <c:manualLayout>
                  <c:x val="1.282051282051094E-3"/>
                  <c:y val="1.6608994729695695E-2"/>
                </c:manualLayout>
              </c:layout>
              <c:tx>
                <c:rich>
                  <a:bodyPr rot="0" spcFirstLastPara="1" vertOverflow="ellipsis" vert="horz" wrap="square" lIns="38100" tIns="19050" rIns="38100" bIns="19050" anchor="ctr" anchorCtr="1">
                    <a:spAutoFit/>
                  </a:bodyPr>
                  <a:lstStyle/>
                  <a:p>
                    <a:pPr>
                      <a:defRPr sz="1800" b="1" i="0" u="none" strike="noStrike" kern="1200" spc="0" baseline="0">
                        <a:solidFill>
                          <a:schemeClr val="accent1"/>
                        </a:solidFill>
                        <a:latin typeface="+mn-lt"/>
                        <a:ea typeface="+mn-ea"/>
                        <a:cs typeface="+mn-cs"/>
                      </a:defRPr>
                    </a:pPr>
                    <a:r>
                      <a:rPr lang="en-US" sz="1800"/>
                      <a:t>Current</a:t>
                    </a:r>
                    <a:endParaRPr lang="en-US" sz="1800" baseline="0"/>
                  </a:p>
                  <a:p>
                    <a:pPr>
                      <a:defRPr sz="1800"/>
                    </a:pPr>
                    <a:r>
                      <a:rPr lang="en-US" sz="1800" baseline="0"/>
                      <a:t>Liabilities
</a:t>
                    </a:r>
                    <a:fld id="{EDE1C95F-3B28-6C4E-8E41-6489AD291364}" type="PERCENTAGE">
                      <a:rPr lang="en-US" sz="1800" baseline="0"/>
                      <a:pPr>
                        <a:defRPr sz="1800"/>
                      </a:pPr>
                      <a:t>[PERCENTAGE]</a:t>
                    </a:fld>
                    <a:endParaRPr lang="en-US" sz="1800" baseline="0"/>
                  </a:p>
                </c:rich>
              </c:tx>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4A1-7A48-865D-6AD44E3E8F49}"/>
                </c:ext>
              </c:extLst>
            </c:dLbl>
            <c:dLbl>
              <c:idx val="1"/>
              <c:layout>
                <c:manualLayout>
                  <c:x val="-3.3333333333333333E-2"/>
                  <c:y val="1.6608994729695695E-2"/>
                </c:manualLayout>
              </c:layout>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accent2"/>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4A1-7A48-865D-6AD44E3E8F49}"/>
                </c:ext>
              </c:extLst>
            </c:dLbl>
            <c:dLbl>
              <c:idx val="2"/>
              <c:layout>
                <c:manualLayout>
                  <c:x val="8.5897435897435856E-2"/>
                  <c:y val="3.4602072353532694E-2"/>
                </c:manualLayout>
              </c:layout>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accent3"/>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4A1-7A48-865D-6AD44E3E8F49}"/>
                </c:ext>
              </c:extLst>
            </c:dLbl>
            <c:dLbl>
              <c:idx val="3"/>
              <c:tx>
                <c:rich>
                  <a:bodyPr rot="0" spcFirstLastPara="1" vertOverflow="ellipsis" vert="horz" wrap="square" lIns="38100" tIns="19050" rIns="38100" bIns="19050" anchor="ctr" anchorCtr="1">
                    <a:spAutoFit/>
                  </a:bodyPr>
                  <a:lstStyle/>
                  <a:p>
                    <a:pPr>
                      <a:defRPr sz="1800" b="1" i="0" u="none" strike="noStrike" kern="1200" spc="0" baseline="0">
                        <a:solidFill>
                          <a:schemeClr val="accent1"/>
                        </a:solidFill>
                        <a:latin typeface="+mn-lt"/>
                        <a:ea typeface="+mn-ea"/>
                        <a:cs typeface="+mn-cs"/>
                      </a:defRPr>
                    </a:pPr>
                    <a:r>
                      <a:rPr lang="en-US" sz="1800"/>
                      <a:t>Deferre</a:t>
                    </a:r>
                    <a:r>
                      <a:rPr lang="en-US" sz="1800" baseline="0"/>
                      <a:t>d Income</a:t>
                    </a:r>
                  </a:p>
                  <a:p>
                    <a:pPr>
                      <a:defRPr sz="1800">
                        <a:solidFill>
                          <a:schemeClr val="accent1"/>
                        </a:solidFill>
                      </a:defRPr>
                    </a:pPr>
                    <a:r>
                      <a:rPr lang="en-US" sz="1800" baseline="0"/>
                      <a:t>Tax Liabilities
</a:t>
                    </a:r>
                    <a:fld id="{19F22F0F-AA83-DA46-99FD-E1234E82A0D6}" type="PERCENTAGE">
                      <a:rPr lang="en-US" sz="1800" baseline="0"/>
                      <a:pPr>
                        <a:defRPr sz="1800">
                          <a:solidFill>
                            <a:schemeClr val="accent1"/>
                          </a:solidFill>
                        </a:defRPr>
                      </a:pPr>
                      <a:t>[PERCENTAGE]</a:t>
                    </a:fld>
                    <a:endParaRPr lang="en-US" sz="1800" baseline="0"/>
                  </a:p>
                </c:rich>
              </c:tx>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A4A1-7A48-865D-6AD44E3E8F49}"/>
                </c:ext>
              </c:extLst>
            </c:dLbl>
            <c:dLbl>
              <c:idx val="4"/>
              <c:delete val="1"/>
              <c:extLst>
                <c:ext xmlns:c15="http://schemas.microsoft.com/office/drawing/2012/chart" uri="{CE6537A1-D6FC-4f65-9D91-7224C49458BB}"/>
                <c:ext xmlns:c16="http://schemas.microsoft.com/office/drawing/2014/chart" uri="{C3380CC4-5D6E-409C-BE32-E72D297353CC}">
                  <c16:uniqueId val="{00000009-A4A1-7A48-865D-6AD44E3E8F49}"/>
                </c:ext>
              </c:extLst>
            </c:dLbl>
            <c:dLbl>
              <c:idx val="5"/>
              <c:tx>
                <c:rich>
                  <a:bodyPr rot="0" spcFirstLastPara="1" vertOverflow="ellipsis" vert="horz" wrap="square" lIns="38100" tIns="19050" rIns="38100" bIns="19050" anchor="ctr" anchorCtr="1">
                    <a:spAutoFit/>
                  </a:bodyPr>
                  <a:lstStyle/>
                  <a:p>
                    <a:pPr>
                      <a:defRPr sz="1800" b="1" i="0" u="none" strike="noStrike" kern="1200" spc="0" baseline="0">
                        <a:solidFill>
                          <a:schemeClr val="accent1"/>
                        </a:solidFill>
                        <a:latin typeface="+mn-lt"/>
                        <a:ea typeface="+mn-ea"/>
                        <a:cs typeface="+mn-cs"/>
                      </a:defRPr>
                    </a:pPr>
                    <a:r>
                      <a:rPr lang="en-US" sz="1800"/>
                      <a:t>Stockholders' Equity</a:t>
                    </a:r>
                    <a:r>
                      <a:rPr lang="en-US" sz="1800" baseline="0"/>
                      <a:t>
</a:t>
                    </a:r>
                    <a:fld id="{A9FC7EEC-4AB8-6445-898E-27AF76FE66FD}" type="PERCENTAGE">
                      <a:rPr lang="en-US" sz="1800" baseline="0"/>
                      <a:pPr>
                        <a:defRPr sz="1800">
                          <a:solidFill>
                            <a:schemeClr val="accent1"/>
                          </a:solidFill>
                        </a:defRPr>
                      </a:pPr>
                      <a:t>[PERCENTAGE]</a:t>
                    </a:fld>
                    <a:endParaRPr lang="en-US" sz="1800" baseline="0"/>
                  </a:p>
                </c:rich>
              </c:tx>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A4A1-7A48-865D-6AD44E3E8F49}"/>
                </c:ext>
              </c:extLst>
            </c:dLbl>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('Balance Sheet (Annual)'!$A$26:$A$30,'Balance Sheet (Annual)'!$A$37)</c:f>
              <c:strCache>
                <c:ptCount val="6"/>
                <c:pt idx="0">
                  <c:v>Total current liabilities</c:v>
                </c:pt>
                <c:pt idx="1">
                  <c:v>Long-term debt</c:v>
                </c:pt>
                <c:pt idx="2">
                  <c:v>Operating lease liabilities</c:v>
                </c:pt>
                <c:pt idx="3">
                  <c:v>Deferred income tax liabilities</c:v>
                </c:pt>
                <c:pt idx="4">
                  <c:v>Other long-term liabilities</c:v>
                </c:pt>
                <c:pt idx="5">
                  <c:v>Total stockholders' equity</c:v>
                </c:pt>
              </c:strCache>
            </c:strRef>
          </c:cat>
          <c:val>
            <c:numRef>
              <c:f>('Balance Sheet (Annual)'!$B$26:$B$30,'Balance Sheet (Annual)'!$B$37)</c:f>
              <c:numCache>
                <c:formatCode>_(* #,##0.0_);_(* \(#,##0.0\);_(* "-"??_);_(@_)</c:formatCode>
                <c:ptCount val="6"/>
                <c:pt idx="0">
                  <c:v>802.6</c:v>
                </c:pt>
                <c:pt idx="1">
                  <c:v>404.7</c:v>
                </c:pt>
                <c:pt idx="2">
                  <c:v>161.19999999999999</c:v>
                </c:pt>
                <c:pt idx="3">
                  <c:v>92.9</c:v>
                </c:pt>
                <c:pt idx="4">
                  <c:v>4.8</c:v>
                </c:pt>
                <c:pt idx="5">
                  <c:v>3161.2</c:v>
                </c:pt>
              </c:numCache>
            </c:numRef>
          </c:val>
          <c:extLst>
            <c:ext xmlns:c16="http://schemas.microsoft.com/office/drawing/2014/chart" uri="{C3380CC4-5D6E-409C-BE32-E72D297353CC}">
              <c16:uniqueId val="{0000000C-A4A1-7A48-865D-6AD44E3E8F49}"/>
            </c:ext>
          </c:extLst>
        </c:ser>
        <c:dLbls>
          <c:dLblPos val="outEnd"/>
          <c:showLegendKey val="0"/>
          <c:showVal val="0"/>
          <c:showCatName val="0"/>
          <c:showSerName val="0"/>
          <c:showPercent val="1"/>
          <c:showBubbleSize val="0"/>
          <c:showLeaderLines val="0"/>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12700</xdr:colOff>
      <xdr:row>51</xdr:row>
      <xdr:rowOff>12700</xdr:rowOff>
    </xdr:to>
    <xdr:sp macro="" textlink="">
      <xdr:nvSpPr>
        <xdr:cNvPr id="2" name="TextBox 1">
          <a:extLst>
            <a:ext uri="{FF2B5EF4-FFF2-40B4-BE49-F238E27FC236}">
              <a16:creationId xmlns:a16="http://schemas.microsoft.com/office/drawing/2014/main" id="{5A0BAB77-33E8-F046-9A61-012F17AE0D6C}"/>
            </a:ext>
          </a:extLst>
        </xdr:cNvPr>
        <xdr:cNvSpPr txBox="1"/>
      </xdr:nvSpPr>
      <xdr:spPr>
        <a:xfrm>
          <a:off x="0" y="0"/>
          <a:ext cx="14046200" cy="1037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1" u="sng">
              <a:solidFill>
                <a:schemeClr val="dk1"/>
              </a:solidFill>
              <a:effectLst/>
              <a:latin typeface="+mn-lt"/>
              <a:ea typeface="+mn-ea"/>
              <a:cs typeface="+mn-cs"/>
            </a:rPr>
            <a:t>Fastenal Company</a:t>
          </a:r>
        </a:p>
        <a:p>
          <a:endParaRPr lang="en-US" sz="1800" b="1" u="sng">
            <a:solidFill>
              <a:schemeClr val="dk1"/>
            </a:solidFill>
            <a:effectLst/>
            <a:latin typeface="+mn-lt"/>
            <a:ea typeface="+mn-ea"/>
            <a:cs typeface="+mn-cs"/>
          </a:endParaRPr>
        </a:p>
        <a:p>
          <a:r>
            <a:rPr lang="en-US" sz="1800" b="1" u="none">
              <a:solidFill>
                <a:schemeClr val="dk1"/>
              </a:solidFill>
              <a:effectLst/>
              <a:latin typeface="+mn-lt"/>
              <a:ea typeface="+mn-ea"/>
              <a:cs typeface="+mn-cs"/>
            </a:rPr>
            <a:t>November 26,</a:t>
          </a:r>
          <a:r>
            <a:rPr lang="en-US" sz="1800" b="1" u="none" baseline="0">
              <a:solidFill>
                <a:schemeClr val="dk1"/>
              </a:solidFill>
              <a:effectLst/>
              <a:latin typeface="+mn-lt"/>
              <a:ea typeface="+mn-ea"/>
              <a:cs typeface="+mn-cs"/>
            </a:rPr>
            <a:t> 2022</a:t>
          </a:r>
        </a:p>
        <a:p>
          <a:endParaRPr lang="en-US" sz="1800" b="1" u="none" baseline="0">
            <a:solidFill>
              <a:schemeClr val="dk1"/>
            </a:solidFill>
            <a:effectLst/>
            <a:latin typeface="+mn-lt"/>
            <a:ea typeface="+mn-ea"/>
            <a:cs typeface="+mn-cs"/>
          </a:endParaRPr>
        </a:p>
        <a:p>
          <a:r>
            <a:rPr lang="en-US" sz="1600" b="1" u="none" baseline="0">
              <a:solidFill>
                <a:schemeClr val="dk1"/>
              </a:solidFill>
              <a:effectLst/>
              <a:latin typeface="+mn-lt"/>
              <a:ea typeface="+mn-ea"/>
              <a:cs typeface="+mn-cs"/>
            </a:rPr>
            <a:t>TERMS OF USE</a:t>
          </a:r>
          <a:endParaRPr lang="en-US" sz="1600" b="1" u="none">
            <a:solidFill>
              <a:schemeClr val="dk1"/>
            </a:solidFill>
            <a:effectLst/>
            <a:latin typeface="+mn-lt"/>
            <a:ea typeface="+mn-ea"/>
            <a:cs typeface="+mn-cs"/>
          </a:endParaRPr>
        </a:p>
        <a:p>
          <a:endParaRPr lang="en-US" sz="1400" b="1">
            <a:solidFill>
              <a:schemeClr val="dk1"/>
            </a:solidFill>
            <a:effectLst/>
            <a:latin typeface="+mn-lt"/>
            <a:ea typeface="+mn-ea"/>
            <a:cs typeface="+mn-cs"/>
          </a:endParaRPr>
        </a:p>
        <a:p>
          <a:r>
            <a:rPr lang="en-US" sz="1400" b="1">
              <a:solidFill>
                <a:schemeClr val="dk1"/>
              </a:solidFill>
              <a:effectLst/>
              <a:latin typeface="+mn-lt"/>
              <a:ea typeface="+mn-ea"/>
              <a:cs typeface="+mn-cs"/>
            </a:rPr>
            <a:t>© Copyright 2022 by The Rational Walk LLC. All rights reserved. </a:t>
          </a:r>
        </a:p>
        <a:p>
          <a:endParaRPr lang="en-US" sz="1400"/>
        </a:p>
        <a:p>
          <a:r>
            <a:rPr lang="en-US" sz="1400" b="1">
              <a:solidFill>
                <a:schemeClr val="dk1"/>
              </a:solidFill>
              <a:effectLst/>
              <a:latin typeface="+mn-lt"/>
              <a:ea typeface="+mn-ea"/>
              <a:cs typeface="+mn-cs"/>
            </a:rPr>
            <a:t>This data contained in this spreadsheet is part of a series of business profiles published by The Rational Walk, LLC. </a:t>
          </a:r>
        </a:p>
        <a:p>
          <a:endParaRPr lang="en-US" sz="1400"/>
        </a:p>
        <a:p>
          <a:r>
            <a:rPr lang="en-US" sz="1400" b="1">
              <a:solidFill>
                <a:schemeClr val="dk1"/>
              </a:solidFill>
              <a:effectLst/>
              <a:latin typeface="+mn-lt"/>
              <a:ea typeface="+mn-ea"/>
              <a:cs typeface="+mn-cs"/>
            </a:rPr>
            <a:t>The purpose of a business profile is to provide readers with information regarding a company’s business model and financial results. Business profiles do not provide intrinsic value estimates regarding whether the securities related to the business are attractive investments. Reports are meant to provide background information for educational purposes. </a:t>
          </a:r>
        </a:p>
        <a:p>
          <a:endParaRPr lang="en-US" sz="1400"/>
        </a:p>
        <a:p>
          <a:r>
            <a:rPr lang="en-US" sz="1400">
              <a:solidFill>
                <a:schemeClr val="dk1"/>
              </a:solidFill>
              <a:effectLst/>
              <a:latin typeface="+mn-lt"/>
              <a:ea typeface="+mn-ea"/>
              <a:cs typeface="+mn-cs"/>
            </a:rPr>
            <a:t>The Rational Walk LLC is not a registered investment advisor. Please consult with your own investment advisor before buying or selling any securities discussed in this report. This report is not investment advice nor is it a recommendation to buy or sell securities. Past performance of securities discussed in this report is not a good indication of future performance.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All content is strictly protected by United States copyright laws. Unlawful reproduction is prohibited. This publication may not be photocopied, electronically redistributed, or quoted without written permission, expect for brief quotations in compliance with the fair use doctrine when accompanied by an acknowledgement of the original source.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The information contained in this report is based on sources considered to be reliable, but no guarantees are made regarding accuracy. No warranties are given as to the accuracy or completeness of this analysis. All links to internet sites listed in this publication were valid at the time of publication but may change or become invalid in the future. No assurance can be given regarding the reliability of data contained on these websites. </a:t>
          </a:r>
        </a:p>
        <a:p>
          <a:endParaRPr lang="en-US" sz="1400" b="1">
            <a:solidFill>
              <a:schemeClr val="dk1"/>
            </a:solidFill>
            <a:effectLst/>
            <a:latin typeface="+mn-lt"/>
            <a:ea typeface="+mn-ea"/>
            <a:cs typeface="+mn-cs"/>
          </a:endParaRPr>
        </a:p>
        <a:p>
          <a:r>
            <a:rPr lang="en-US" sz="1400" b="1">
              <a:solidFill>
                <a:schemeClr val="dk1"/>
              </a:solidFill>
              <a:effectLst/>
              <a:latin typeface="+mn-lt"/>
              <a:ea typeface="+mn-ea"/>
              <a:cs typeface="+mn-cs"/>
            </a:rPr>
            <a:t>Note that data in this spreadsheet has been hand entered into Excel from SEC filings and other sources. </a:t>
          </a:r>
          <a:r>
            <a:rPr lang="en-US" sz="1400">
              <a:solidFill>
                <a:schemeClr val="dk1"/>
              </a:solidFill>
              <a:effectLst/>
              <a:latin typeface="+mn-lt"/>
              <a:ea typeface="+mn-ea"/>
              <a:cs typeface="+mn-cs"/>
            </a:rPr>
            <a:t>I do this to gain</a:t>
          </a:r>
          <a:r>
            <a:rPr lang="en-US" sz="1400" baseline="0">
              <a:solidFill>
                <a:schemeClr val="dk1"/>
              </a:solidFill>
              <a:effectLst/>
              <a:latin typeface="+mn-lt"/>
              <a:ea typeface="+mn-ea"/>
              <a:cs typeface="+mn-cs"/>
            </a:rPr>
            <a:t> a better understanding of the company, but hand entering data comes with the risk of error. Although I endeavor to check the data multiple times to increase accuracy, no assurances can be provided that the spreadsheet is free from error.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Opinion and conclusions contained within this report are effective at the date of the report and future circumstances could cause the publisher of the report to arrive at different conclusions. No duty whatsoever exists to provide updates to readers of this report at a later date if future developments change the publisher’s opinions or conclusions. </a:t>
          </a:r>
        </a:p>
        <a:p>
          <a:endParaRPr lang="en-US" sz="1400"/>
        </a:p>
        <a:p>
          <a:r>
            <a:rPr lang="en-US" sz="1400">
              <a:solidFill>
                <a:schemeClr val="dk1"/>
              </a:solidFill>
              <a:effectLst/>
              <a:latin typeface="+mn-lt"/>
              <a:ea typeface="+mn-ea"/>
              <a:cs typeface="+mn-cs"/>
            </a:rPr>
            <a:t>At the date of this report, individuals associated with The Rational Walk LLC </a:t>
          </a:r>
          <a:r>
            <a:rPr lang="en-US" sz="1400" u="sng">
              <a:solidFill>
                <a:schemeClr val="dk1"/>
              </a:solidFill>
              <a:effectLst/>
              <a:latin typeface="+mn-lt"/>
              <a:ea typeface="+mn-ea"/>
              <a:cs typeface="+mn-cs"/>
            </a:rPr>
            <a:t>do not </a:t>
          </a:r>
          <a:r>
            <a:rPr lang="en-US" sz="1400">
              <a:solidFill>
                <a:schemeClr val="dk1"/>
              </a:solidFill>
              <a:effectLst/>
              <a:latin typeface="+mn-lt"/>
              <a:ea typeface="+mn-ea"/>
              <a:cs typeface="+mn-cs"/>
            </a:rPr>
            <a:t>own shares of Fastenal but</a:t>
          </a:r>
          <a:r>
            <a:rPr lang="en-US" sz="1400" baseline="0">
              <a:solidFill>
                <a:schemeClr val="dk1"/>
              </a:solidFill>
              <a:effectLst/>
              <a:latin typeface="+mn-lt"/>
              <a:ea typeface="+mn-ea"/>
              <a:cs typeface="+mn-cs"/>
            </a:rPr>
            <a:t> m</a:t>
          </a:r>
          <a:r>
            <a:rPr lang="en-US" sz="1400">
              <a:solidFill>
                <a:schemeClr val="dk1"/>
              </a:solidFill>
              <a:effectLst/>
              <a:latin typeface="+mn-lt"/>
              <a:ea typeface="+mn-ea"/>
              <a:cs typeface="+mn-cs"/>
            </a:rPr>
            <a:t>ay buy or sell shares at any time, in any quantity, and for any reason without any disclosure to readers of this report. </a:t>
          </a:r>
          <a:endParaRPr lang="en-US" sz="1400"/>
        </a:p>
        <a:p>
          <a:endParaRPr lang="en-US" sz="1400" b="1">
            <a:solidFill>
              <a:schemeClr val="dk1"/>
            </a:solidFill>
            <a:effectLst/>
            <a:latin typeface="+mn-lt"/>
            <a:ea typeface="+mn-ea"/>
            <a:cs typeface="+mn-cs"/>
          </a:endParaRPr>
        </a:p>
        <a:p>
          <a:r>
            <a:rPr lang="en-US" sz="1400" b="1">
              <a:solidFill>
                <a:schemeClr val="dk1"/>
              </a:solidFill>
              <a:effectLst/>
              <a:latin typeface="+mn-lt"/>
              <a:ea typeface="+mn-ea"/>
              <a:cs typeface="+mn-cs"/>
            </a:rPr>
            <a:t>The Rational Walk </a:t>
          </a:r>
          <a:r>
            <a:rPr lang="en-US" sz="1400">
              <a:solidFill>
                <a:schemeClr val="dk1"/>
              </a:solidFill>
              <a:effectLst/>
              <a:latin typeface="+mn-lt"/>
              <a:ea typeface="+mn-ea"/>
              <a:cs typeface="+mn-cs"/>
            </a:rPr>
            <a:t>was founded in 2009. Over a thousand articles have been published over the past fourteen years primarily on topics related to investing and personal finance. In addition, over one hundred books have been reviewed over the years. The Rational Walk’s extensive coverage of Berkshire Hathaway has been mentioned in several news articles. The Rational Walk website and full archive may be accessed at rationalwalk.com. </a:t>
          </a:r>
          <a:endParaRPr lang="en-US" sz="1400"/>
        </a:p>
        <a:p>
          <a:endParaRPr lang="en-US" sz="1400"/>
        </a:p>
        <a:p>
          <a:r>
            <a:rPr lang="en-US" sz="1400" b="1">
              <a:solidFill>
                <a:schemeClr val="dk1"/>
              </a:solidFill>
              <a:effectLst/>
              <a:latin typeface="+mn-lt"/>
              <a:ea typeface="+mn-ea"/>
              <a:cs typeface="+mn-cs"/>
            </a:rPr>
            <a:t>Rational Reflections </a:t>
          </a:r>
          <a:r>
            <a:rPr lang="en-US" sz="1400">
              <a:solidFill>
                <a:schemeClr val="dk1"/>
              </a:solidFill>
              <a:effectLst/>
              <a:latin typeface="+mn-lt"/>
              <a:ea typeface="+mn-ea"/>
              <a:cs typeface="+mn-cs"/>
            </a:rPr>
            <a:t>is a newsletter published by The Rational Walk LLC. The Weekly Digest contains original content and curated links to articles, podcasts, videos, and other content with a high signal-to-noise ratio. Weekly Digest is free. In addition, Rational Reflections publishes profiles of businesses which are distributed to paying subscribers. While there is no set publication schedule for business profiles, subscribers should expect to receive at least ten profiles per year. </a:t>
          </a:r>
        </a:p>
        <a:p>
          <a:endParaRPr lang="en-US" sz="1400"/>
        </a:p>
        <a:p>
          <a:r>
            <a:rPr lang="en-US" sz="1400" b="1">
              <a:solidFill>
                <a:schemeClr val="dk1"/>
              </a:solidFill>
              <a:effectLst/>
              <a:latin typeface="+mn-lt"/>
              <a:ea typeface="+mn-ea"/>
              <a:cs typeface="+mn-cs"/>
            </a:rPr>
            <a:t>The subscription price for Rational Reflections is $12 per month or $120 per year. </a:t>
          </a:r>
          <a:r>
            <a:rPr lang="en-US" sz="1400">
              <a:solidFill>
                <a:schemeClr val="dk1"/>
              </a:solidFill>
              <a:effectLst/>
              <a:latin typeface="+mn-lt"/>
              <a:ea typeface="+mn-ea"/>
              <a:cs typeface="+mn-cs"/>
            </a:rPr>
            <a:t>Subscriptions are available for purchase at rationalreflections.substack.com/subscribe. Subscriptions are meant to be accessed by a single individual. Please do not redistribute this report or other subscriber-only materials to non-subscribers.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Please direct any inquiries regarding this publication to administrator@rationalwalk.com. </a:t>
          </a:r>
          <a:endParaRPr 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31750</xdr:colOff>
      <xdr:row>63</xdr:row>
      <xdr:rowOff>12701</xdr:rowOff>
    </xdr:from>
    <xdr:to>
      <xdr:col>6</xdr:col>
      <xdr:colOff>736600</xdr:colOff>
      <xdr:row>72</xdr:row>
      <xdr:rowOff>0</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6762750" y="15354301"/>
          <a:ext cx="3702050" cy="2158999"/>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en-US" sz="1400"/>
            <a:t>Free cash flow was the main source</a:t>
          </a:r>
          <a:r>
            <a:rPr lang="en-US" sz="1400" baseline="0"/>
            <a:t> of cash from 2010 to Q3 2022 along with $555 million of net borrowings and $282 million from the proceeds of stock issued upon option exercises. Other than minor acquisitions, management has allocated nearly all cash toward returning cash to shareholders, predominantly in the form of dividends (regular and special dividends) but also via a repurchase program.  </a:t>
          </a:r>
          <a:endParaRPr lang="en-US"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9526</xdr:colOff>
      <xdr:row>49</xdr:row>
      <xdr:rowOff>22225</xdr:rowOff>
    </xdr:from>
    <xdr:to>
      <xdr:col>17</xdr:col>
      <xdr:colOff>0</xdr:colOff>
      <xdr:row>53</xdr:row>
      <xdr:rowOff>50800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9526" y="11960225"/>
          <a:ext cx="16652874" cy="99377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en-US" sz="1400"/>
            <a:t>Management</a:t>
          </a:r>
          <a:r>
            <a:rPr lang="en-US" sz="1400" baseline="0"/>
            <a:t> has indicated that Fasteners carry higher gross margins than other items so it is notable that fasteners have fallen significantly as a percentage of sales.   However, interestingly, gross margin has not declined as much as one might have expected IF the difference in gross margin is MUCH higher for fasteners than for other lines.  Fasteners have declined from over 50% of sales in 2007-09 to 33.3% in 2021. Meanwhile, gross margin has contracted by ~4%. Some of that decline is due to product mix, but management has also indicated that onsite sales have lower gross margin, as do sales to larger customers who tend to fit the onsite model. So there are multiple factors at play when it comes to gross margin and product mix. Still, the decline of fasteners relative to other lines is a notable long-term trend. </a:t>
          </a:r>
          <a:endParaRPr lang="en-US" sz="1400"/>
        </a:p>
      </xdr:txBody>
    </xdr:sp>
    <xdr:clientData/>
  </xdr:twoCellAnchor>
  <xdr:twoCellAnchor>
    <xdr:from>
      <xdr:col>10</xdr:col>
      <xdr:colOff>25400</xdr:colOff>
      <xdr:row>68</xdr:row>
      <xdr:rowOff>228599</xdr:rowOff>
    </xdr:from>
    <xdr:to>
      <xdr:col>16</xdr:col>
      <xdr:colOff>774700</xdr:colOff>
      <xdr:row>91</xdr:row>
      <xdr:rowOff>12700</xdr:rowOff>
    </xdr:to>
    <xdr:sp macro="" textlink="">
      <xdr:nvSpPr>
        <xdr:cNvPr id="2" name="TextBox 1">
          <a:extLst>
            <a:ext uri="{FF2B5EF4-FFF2-40B4-BE49-F238E27FC236}">
              <a16:creationId xmlns:a16="http://schemas.microsoft.com/office/drawing/2014/main" id="{9EBA37B2-281F-5646-8ECA-EED20AC3A2F2}"/>
            </a:ext>
          </a:extLst>
        </xdr:cNvPr>
        <xdr:cNvSpPr txBox="1"/>
      </xdr:nvSpPr>
      <xdr:spPr>
        <a:xfrm>
          <a:off x="11582400" y="16802099"/>
          <a:ext cx="5473700" cy="5384801"/>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en-US" sz="1400" b="1"/>
            <a:t>Sales by Channel </a:t>
          </a:r>
          <a:r>
            <a:rPr lang="en-US" sz="1400"/>
            <a:t>data  for the past</a:t>
          </a:r>
          <a:r>
            <a:rPr lang="en-US" sz="1400" baseline="0"/>
            <a:t> decade is presented on page 3 of the 2021 10-K report. </a:t>
          </a:r>
        </a:p>
        <a:p>
          <a:endParaRPr lang="en-US" sz="1400" baseline="0"/>
        </a:p>
        <a:p>
          <a:r>
            <a:rPr lang="en-US" sz="1400" baseline="0"/>
            <a:t>Although Fastenal did have what are now referred to as onsite locations prior to 2014, they were not separately reported until management identified the onsite program as a growth driver in 2014. </a:t>
          </a:r>
        </a:p>
        <a:p>
          <a:endParaRPr lang="en-US" sz="1400" baseline="0"/>
        </a:p>
        <a:p>
          <a:r>
            <a:rPr lang="en-US" sz="1400" baseline="0"/>
            <a:t>The number of onsite locations has been increasing over the eight year period to the left, rising from 214 to 1,416. During the same period, the number of branch locations (formerly called "stores") has declined significantly, from 2,687 in 2013 to 1,793 in 2021.</a:t>
          </a:r>
        </a:p>
        <a:p>
          <a:endParaRPr lang="en-US" sz="1400" baseline="0"/>
        </a:p>
        <a:p>
          <a:r>
            <a:rPr lang="en-US" sz="1400" baseline="0"/>
            <a:t>Management provides average sales per branch and onsite location in the 10-K and I have calculated average sales per in-market location using the same methodology. Revenue is divided by the average number of respective locations and then divided by twelve to arrive at a monthly figure.</a:t>
          </a:r>
        </a:p>
        <a:p>
          <a:endParaRPr lang="en-US" sz="1400" baseline="0"/>
        </a:p>
        <a:p>
          <a:r>
            <a:rPr lang="en-US" sz="1400" baseline="0"/>
            <a:t>We can see that branch sales per location has increased as the branch count declined, indicating that management retained the more productive branches. Onsite sales per location has declined, probably due to initial rollout of the onsite model with larger customers and  expansion of the concept to smaller customers, using FMI and vending platforms.</a:t>
          </a:r>
          <a:endParaRPr lang="en-US" sz="1400"/>
        </a:p>
      </xdr:txBody>
    </xdr:sp>
    <xdr:clientData/>
  </xdr:twoCellAnchor>
  <xdr:twoCellAnchor>
    <xdr:from>
      <xdr:col>4</xdr:col>
      <xdr:colOff>25400</xdr:colOff>
      <xdr:row>93</xdr:row>
      <xdr:rowOff>12700</xdr:rowOff>
    </xdr:from>
    <xdr:to>
      <xdr:col>16</xdr:col>
      <xdr:colOff>774700</xdr:colOff>
      <xdr:row>101</xdr:row>
      <xdr:rowOff>38100</xdr:rowOff>
    </xdr:to>
    <xdr:sp macro="" textlink="">
      <xdr:nvSpPr>
        <xdr:cNvPr id="4" name="TextBox 3">
          <a:extLst>
            <a:ext uri="{FF2B5EF4-FFF2-40B4-BE49-F238E27FC236}">
              <a16:creationId xmlns:a16="http://schemas.microsoft.com/office/drawing/2014/main" id="{BD80B85F-17F9-F744-8587-5A36322E3D9D}"/>
            </a:ext>
          </a:extLst>
        </xdr:cNvPr>
        <xdr:cNvSpPr txBox="1"/>
      </xdr:nvSpPr>
      <xdr:spPr>
        <a:xfrm>
          <a:off x="6858000" y="22669500"/>
          <a:ext cx="10198100" cy="199390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en-US" sz="1400"/>
            <a:t>Fastenal began reporting revenue generated</a:t>
          </a:r>
          <a:r>
            <a:rPr lang="en-US" sz="1400" baseline="0"/>
            <a:t> by the Fastenal Managed Inventory program in 2020. FASTStocks are bins holding stock within a customer facility that are visually monitored and replenished from time to time. FASTBin are in customer facilities and electronically monitored by weight, infrared, or RFID technology with automated replenishment. FASTVend machines are located in customer facilities where access to inventory is monitored and replenishment automated.</a:t>
          </a:r>
        </a:p>
        <a:p>
          <a:endParaRPr lang="en-US" sz="1400" baseline="0"/>
        </a:p>
        <a:p>
          <a:r>
            <a:rPr lang="en-US" sz="1400" baseline="0"/>
            <a:t>We can see that these programs are growing as a percentage of sales. This is commensurate with growth in the onsite locations in recent years. Over time, management believes that there is a market opportunity for as many as 1.7 million vending units. There were 101,600 vending units deployed as of December 31, 2021.</a:t>
          </a:r>
        </a:p>
        <a:p>
          <a:endParaRPr lang="en-US" sz="1400" baseline="0"/>
        </a:p>
        <a:p>
          <a:r>
            <a:rPr lang="en-US" sz="1400" baseline="0"/>
            <a:t> </a:t>
          </a:r>
          <a:endParaRPr lang="en-US" sz="1400"/>
        </a:p>
      </xdr:txBody>
    </xdr:sp>
    <xdr:clientData/>
  </xdr:twoCellAnchor>
  <xdr:twoCellAnchor>
    <xdr:from>
      <xdr:col>0</xdr:col>
      <xdr:colOff>12700</xdr:colOff>
      <xdr:row>116</xdr:row>
      <xdr:rowOff>12700</xdr:rowOff>
    </xdr:from>
    <xdr:to>
      <xdr:col>14</xdr:col>
      <xdr:colOff>0</xdr:colOff>
      <xdr:row>119</xdr:row>
      <xdr:rowOff>88900</xdr:rowOff>
    </xdr:to>
    <xdr:sp macro="" textlink="">
      <xdr:nvSpPr>
        <xdr:cNvPr id="5" name="TextBox 4">
          <a:extLst>
            <a:ext uri="{FF2B5EF4-FFF2-40B4-BE49-F238E27FC236}">
              <a16:creationId xmlns:a16="http://schemas.microsoft.com/office/drawing/2014/main" id="{62BBDAF6-DBEA-9449-AC38-E822D56A3C53}"/>
            </a:ext>
          </a:extLst>
        </xdr:cNvPr>
        <xdr:cNvSpPr txBox="1"/>
      </xdr:nvSpPr>
      <xdr:spPr>
        <a:xfrm>
          <a:off x="12700" y="28295600"/>
          <a:ext cx="15544800" cy="80010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en-US" sz="1400"/>
            <a:t>These</a:t>
          </a:r>
          <a:r>
            <a:rPr lang="en-US" sz="1400" baseline="0"/>
            <a:t> are just rough statistics meant to get a sense of employee productivity. These are total employees, not full-time equivalents. </a:t>
          </a:r>
          <a:r>
            <a:rPr lang="en-US" sz="1400" b="0" u="sng" baseline="0"/>
            <a:t>Although crude</a:t>
          </a:r>
          <a:r>
            <a:rPr lang="en-US" sz="1400" baseline="0"/>
            <a:t>, these figures show quite clearly that Fastenal is achieving greater productivity as measured by sales per employee. This is particularly notable if you look at selling employment from 2015 to 2021 (down slightly) and note that distribution/transportation employment is relatively flat on higher sales volumes. A big part of this trend has to do with more onsite locations and fewer traditional stores, along with automation in the warehouses which has expanded in recent years. </a:t>
          </a:r>
          <a:endParaRPr lang="en-US"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2044700</xdr:colOff>
      <xdr:row>21</xdr:row>
      <xdr:rowOff>228600</xdr:rowOff>
    </xdr:from>
    <xdr:to>
      <xdr:col>1</xdr:col>
      <xdr:colOff>0</xdr:colOff>
      <xdr:row>34</xdr:row>
      <xdr:rowOff>0</xdr:rowOff>
    </xdr:to>
    <xdr:sp macro="" textlink="">
      <xdr:nvSpPr>
        <xdr:cNvPr id="6" name="TextBox 5">
          <a:extLst>
            <a:ext uri="{FF2B5EF4-FFF2-40B4-BE49-F238E27FC236}">
              <a16:creationId xmlns:a16="http://schemas.microsoft.com/office/drawing/2014/main" id="{2226D6A0-73CD-99BC-C863-ED3AB4F35C9B}"/>
            </a:ext>
          </a:extLst>
        </xdr:cNvPr>
        <xdr:cNvSpPr txBox="1"/>
      </xdr:nvSpPr>
      <xdr:spPr>
        <a:xfrm>
          <a:off x="2044700" y="5410200"/>
          <a:ext cx="2184400" cy="292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Fastenal normally has a</a:t>
          </a:r>
          <a:r>
            <a:rPr lang="en-US" sz="1400" baseline="0"/>
            <a:t> relatively</a:t>
          </a:r>
          <a:r>
            <a:rPr lang="en-US" sz="1400"/>
            <a:t> stable mix of</a:t>
          </a:r>
          <a:r>
            <a:rPr lang="en-US" sz="1400" baseline="0"/>
            <a:t> product line sales quarter-to-quarter. However, the pandemic lock-downs caused a huge jump in safety supplies in Q2 2020, and a drop in supplies for manufacturing, most notably fasteners and tools. Safety supplies carry lower gross margins than fasteners.</a:t>
          </a:r>
          <a:endParaRPr lang="en-US"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25400</xdr:colOff>
      <xdr:row>0</xdr:row>
      <xdr:rowOff>25400</xdr:rowOff>
    </xdr:from>
    <xdr:to>
      <xdr:col>10</xdr:col>
      <xdr:colOff>0</xdr:colOff>
      <xdr:row>24</xdr:row>
      <xdr:rowOff>12700</xdr:rowOff>
    </xdr:to>
    <xdr:graphicFrame macro="">
      <xdr:nvGraphicFramePr>
        <xdr:cNvPr id="2" name="Chart 1">
          <a:extLst>
            <a:ext uri="{FF2B5EF4-FFF2-40B4-BE49-F238E27FC236}">
              <a16:creationId xmlns:a16="http://schemas.microsoft.com/office/drawing/2014/main" id="{40338867-7952-B642-9EB6-23473290E2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24</xdr:row>
      <xdr:rowOff>38100</xdr:rowOff>
    </xdr:from>
    <xdr:to>
      <xdr:col>9</xdr:col>
      <xdr:colOff>812800</xdr:colOff>
      <xdr:row>47</xdr:row>
      <xdr:rowOff>139700</xdr:rowOff>
    </xdr:to>
    <xdr:graphicFrame macro="">
      <xdr:nvGraphicFramePr>
        <xdr:cNvPr id="3" name="Chart 2">
          <a:extLst>
            <a:ext uri="{FF2B5EF4-FFF2-40B4-BE49-F238E27FC236}">
              <a16:creationId xmlns:a16="http://schemas.microsoft.com/office/drawing/2014/main" id="{79E405CB-1679-7742-85D5-207CACC062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12700</xdr:colOff>
      <xdr:row>0</xdr:row>
      <xdr:rowOff>25400</xdr:rowOff>
    </xdr:from>
    <xdr:to>
      <xdr:col>22</xdr:col>
      <xdr:colOff>0</xdr:colOff>
      <xdr:row>48</xdr:row>
      <xdr:rowOff>12700</xdr:rowOff>
    </xdr:to>
    <xdr:graphicFrame macro="">
      <xdr:nvGraphicFramePr>
        <xdr:cNvPr id="4" name="Chart 3">
          <a:extLst>
            <a:ext uri="{FF2B5EF4-FFF2-40B4-BE49-F238E27FC236}">
              <a16:creationId xmlns:a16="http://schemas.microsoft.com/office/drawing/2014/main" id="{C442038A-E056-9944-BD8B-AC46BC7075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0</xdr:row>
      <xdr:rowOff>15874</xdr:rowOff>
    </xdr:from>
    <xdr:to>
      <xdr:col>34</xdr:col>
      <xdr:colOff>0</xdr:colOff>
      <xdr:row>48</xdr:row>
      <xdr:rowOff>47625</xdr:rowOff>
    </xdr:to>
    <xdr:graphicFrame macro="">
      <xdr:nvGraphicFramePr>
        <xdr:cNvPr id="5" name="Chart 4">
          <a:extLst>
            <a:ext uri="{FF2B5EF4-FFF2-40B4-BE49-F238E27FC236}">
              <a16:creationId xmlns:a16="http://schemas.microsoft.com/office/drawing/2014/main" id="{C1926E25-9AFF-D743-8866-D8F184A4E7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65DEC-EA0F-D348-AF70-14F00822F3DF}">
  <sheetPr>
    <tabColor rgb="FF00B050"/>
  </sheetPr>
  <dimension ref="A1"/>
  <sheetViews>
    <sheetView tabSelected="1" workbookViewId="0">
      <selection activeCell="H56" sqref="H56"/>
    </sheetView>
  </sheetViews>
  <sheetFormatPr baseColWidth="10" defaultRowHeight="16" x14ac:dyDescent="0.2"/>
  <cols>
    <col min="1" max="16384" width="10.83203125" style="1"/>
  </cols>
  <sheetData/>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C81"/>
  <sheetViews>
    <sheetView workbookViewId="0">
      <pane ySplit="3" topLeftCell="A4" activePane="bottomLeft" state="frozen"/>
      <selection pane="bottomLeft"/>
    </sheetView>
  </sheetViews>
  <sheetFormatPr baseColWidth="10" defaultColWidth="9.1640625" defaultRowHeight="19" x14ac:dyDescent="0.25"/>
  <cols>
    <col min="1" max="1" width="61.5" style="3" bestFit="1" customWidth="1"/>
    <col min="2" max="10" width="9.83203125" style="3" customWidth="1"/>
    <col min="11" max="11" width="9.83203125" style="9" customWidth="1"/>
    <col min="12" max="17" width="9.83203125" style="3" customWidth="1"/>
    <col min="18" max="16384" width="9.1640625" style="3"/>
  </cols>
  <sheetData>
    <row r="1" spans="1:19" ht="24" x14ac:dyDescent="0.3">
      <c r="A1" s="34" t="s">
        <v>202</v>
      </c>
      <c r="B1" s="33"/>
      <c r="C1" s="33"/>
      <c r="D1" s="33"/>
      <c r="E1" s="33"/>
      <c r="F1" s="33"/>
      <c r="G1" s="33"/>
      <c r="H1" s="2"/>
      <c r="K1" s="3"/>
    </row>
    <row r="2" spans="1:19" x14ac:dyDescent="0.25">
      <c r="A2" s="4" t="s">
        <v>197</v>
      </c>
      <c r="B2" s="4"/>
      <c r="C2" s="4"/>
      <c r="D2" s="4"/>
      <c r="E2" s="4"/>
      <c r="F2" s="4"/>
      <c r="G2" s="4"/>
      <c r="H2" s="2"/>
      <c r="I2" s="95"/>
      <c r="J2" s="95"/>
      <c r="K2" s="95"/>
      <c r="L2" s="95"/>
      <c r="M2" s="95"/>
      <c r="N2" s="95"/>
      <c r="O2" s="95"/>
      <c r="P2" s="95"/>
      <c r="Q2" s="95"/>
    </row>
    <row r="3" spans="1:19" s="8" customFormat="1" x14ac:dyDescent="0.25">
      <c r="A3" s="42" t="s">
        <v>115</v>
      </c>
      <c r="B3" s="44">
        <v>44834</v>
      </c>
      <c r="C3" s="5">
        <v>44561</v>
      </c>
      <c r="D3" s="5">
        <v>44196</v>
      </c>
      <c r="E3" s="5">
        <v>43830</v>
      </c>
      <c r="F3" s="5">
        <v>43465</v>
      </c>
      <c r="G3" s="5">
        <v>43100</v>
      </c>
      <c r="H3" s="5">
        <v>42735</v>
      </c>
      <c r="I3" s="5">
        <v>42369</v>
      </c>
      <c r="J3" s="5">
        <v>42004</v>
      </c>
      <c r="K3" s="5">
        <v>41639</v>
      </c>
      <c r="L3" s="5">
        <v>41274</v>
      </c>
      <c r="M3" s="5">
        <v>40908</v>
      </c>
      <c r="N3" s="5">
        <v>40543</v>
      </c>
      <c r="O3" s="6">
        <v>40178</v>
      </c>
      <c r="P3" s="5">
        <v>39813</v>
      </c>
      <c r="Q3" s="5">
        <v>39447</v>
      </c>
      <c r="R3" s="7"/>
      <c r="S3" s="7"/>
    </row>
    <row r="4" spans="1:19" x14ac:dyDescent="0.25">
      <c r="A4" s="8" t="s">
        <v>0</v>
      </c>
      <c r="B4" s="15"/>
      <c r="C4" s="15"/>
      <c r="D4" s="15"/>
      <c r="E4" s="15"/>
      <c r="F4" s="15"/>
      <c r="G4" s="15"/>
      <c r="H4" s="15"/>
      <c r="I4" s="15"/>
      <c r="J4" s="15"/>
      <c r="K4" s="15"/>
      <c r="L4" s="15"/>
      <c r="M4" s="15"/>
      <c r="N4" s="15"/>
      <c r="O4" s="36"/>
      <c r="P4" s="14"/>
      <c r="Q4" s="14"/>
    </row>
    <row r="5" spans="1:19" x14ac:dyDescent="0.25">
      <c r="A5" s="3" t="s">
        <v>1</v>
      </c>
      <c r="B5" s="14"/>
      <c r="C5" s="14"/>
      <c r="D5" s="14"/>
      <c r="E5" s="14"/>
      <c r="F5" s="14"/>
      <c r="G5" s="14"/>
      <c r="H5" s="14"/>
      <c r="I5" s="14"/>
      <c r="J5" s="14"/>
      <c r="K5" s="36"/>
      <c r="L5" s="14"/>
      <c r="M5" s="14"/>
      <c r="N5" s="14"/>
      <c r="O5" s="14"/>
      <c r="P5" s="14"/>
      <c r="Q5" s="14"/>
    </row>
    <row r="6" spans="1:19" x14ac:dyDescent="0.25">
      <c r="A6" s="3" t="s">
        <v>8</v>
      </c>
      <c r="B6" s="14">
        <v>231.5</v>
      </c>
      <c r="C6" s="14">
        <v>236.2</v>
      </c>
      <c r="D6" s="14">
        <v>245.7</v>
      </c>
      <c r="E6" s="14">
        <v>174.9</v>
      </c>
      <c r="F6" s="14">
        <v>167.2</v>
      </c>
      <c r="G6" s="14">
        <v>116.9</v>
      </c>
      <c r="H6" s="14">
        <v>112.735</v>
      </c>
      <c r="I6" s="14">
        <v>129.01900000000001</v>
      </c>
      <c r="J6" s="14">
        <v>114.496</v>
      </c>
      <c r="K6" s="36">
        <v>58.506</v>
      </c>
      <c r="L6" s="14">
        <v>79.611000000000004</v>
      </c>
      <c r="M6" s="14">
        <v>117.676</v>
      </c>
      <c r="N6" s="14">
        <v>143.69300000000001</v>
      </c>
      <c r="O6" s="14">
        <v>164.852</v>
      </c>
      <c r="P6" s="14">
        <v>85.891999999999996</v>
      </c>
      <c r="Q6" s="14">
        <v>57.22</v>
      </c>
    </row>
    <row r="7" spans="1:19" x14ac:dyDescent="0.25">
      <c r="A7" s="3" t="s">
        <v>47</v>
      </c>
      <c r="B7" s="14">
        <v>0</v>
      </c>
      <c r="C7" s="14">
        <v>0</v>
      </c>
      <c r="D7" s="14">
        <v>0</v>
      </c>
      <c r="E7" s="14">
        <v>0</v>
      </c>
      <c r="F7" s="14">
        <v>0</v>
      </c>
      <c r="G7" s="14">
        <v>0</v>
      </c>
      <c r="H7" s="14">
        <v>0</v>
      </c>
      <c r="I7" s="14">
        <v>0</v>
      </c>
      <c r="J7" s="14">
        <v>0</v>
      </c>
      <c r="K7" s="36">
        <v>0.45100000000000001</v>
      </c>
      <c r="L7" s="14">
        <v>0.35399999999999998</v>
      </c>
      <c r="M7" s="14">
        <v>27.164999999999999</v>
      </c>
      <c r="N7" s="14">
        <v>26.067</v>
      </c>
      <c r="O7" s="14">
        <v>24.4</v>
      </c>
      <c r="P7" s="14">
        <v>0.85099999999999998</v>
      </c>
      <c r="Q7" s="14">
        <v>0.159</v>
      </c>
    </row>
    <row r="8" spans="1:19" x14ac:dyDescent="0.25">
      <c r="A8" s="3" t="s">
        <v>120</v>
      </c>
      <c r="B8" s="14">
        <v>1110.5999999999999</v>
      </c>
      <c r="C8" s="14">
        <v>900.2</v>
      </c>
      <c r="D8" s="14">
        <v>769.4</v>
      </c>
      <c r="E8" s="14">
        <v>741.8</v>
      </c>
      <c r="F8" s="14">
        <v>714.3</v>
      </c>
      <c r="G8" s="14">
        <v>607.79999999999995</v>
      </c>
      <c r="H8" s="14">
        <v>499.71600000000001</v>
      </c>
      <c r="I8" s="14">
        <v>468.375</v>
      </c>
      <c r="J8" s="14">
        <v>462.077</v>
      </c>
      <c r="K8" s="36">
        <v>414.33100000000002</v>
      </c>
      <c r="L8" s="14">
        <v>372.15899999999999</v>
      </c>
      <c r="M8" s="14">
        <v>338.59399999999999</v>
      </c>
      <c r="N8" s="14">
        <v>270.13299999999998</v>
      </c>
      <c r="O8" s="14">
        <v>214.16900000000001</v>
      </c>
      <c r="P8" s="14">
        <v>244.94</v>
      </c>
      <c r="Q8" s="14">
        <v>236.33099999999999</v>
      </c>
    </row>
    <row r="9" spans="1:19" x14ac:dyDescent="0.25">
      <c r="A9" s="3" t="s">
        <v>9</v>
      </c>
      <c r="B9" s="14">
        <v>1678.1</v>
      </c>
      <c r="C9" s="14">
        <v>1523.6</v>
      </c>
      <c r="D9" s="14">
        <v>1337.5</v>
      </c>
      <c r="E9" s="14">
        <v>1366.4</v>
      </c>
      <c r="F9" s="14">
        <v>1278.7</v>
      </c>
      <c r="G9" s="14">
        <v>1092.9000000000001</v>
      </c>
      <c r="H9" s="14">
        <v>992.98900000000003</v>
      </c>
      <c r="I9" s="14">
        <v>913.26300000000003</v>
      </c>
      <c r="J9" s="14">
        <v>869.22400000000005</v>
      </c>
      <c r="K9" s="36">
        <v>784.06799999999998</v>
      </c>
      <c r="L9" s="14">
        <v>715.38300000000004</v>
      </c>
      <c r="M9" s="14">
        <v>646.15200000000004</v>
      </c>
      <c r="N9" s="14">
        <v>557.36900000000003</v>
      </c>
      <c r="O9" s="14">
        <v>508.40499999999997</v>
      </c>
      <c r="P9" s="14">
        <v>564.24699999999996</v>
      </c>
      <c r="Q9" s="14">
        <v>504.59199999999998</v>
      </c>
    </row>
    <row r="10" spans="1:19" x14ac:dyDescent="0.25">
      <c r="A10" s="3" t="s">
        <v>48</v>
      </c>
      <c r="B10" s="14">
        <v>0</v>
      </c>
      <c r="C10" s="14">
        <v>0</v>
      </c>
      <c r="D10" s="14">
        <v>0</v>
      </c>
      <c r="E10" s="14">
        <v>0</v>
      </c>
      <c r="F10" s="14">
        <v>0</v>
      </c>
      <c r="G10" s="14">
        <v>0</v>
      </c>
      <c r="H10" s="14">
        <v>0</v>
      </c>
      <c r="I10" s="14">
        <v>0</v>
      </c>
      <c r="J10" s="14">
        <v>21.765000000000001</v>
      </c>
      <c r="K10" s="36">
        <v>18.248000000000001</v>
      </c>
      <c r="L10" s="14">
        <v>14.42</v>
      </c>
      <c r="M10" s="14">
        <v>16.718</v>
      </c>
      <c r="N10" s="14">
        <v>17.896999999999998</v>
      </c>
      <c r="O10" s="14">
        <v>12.919</v>
      </c>
      <c r="P10" s="14">
        <v>15.909000000000001</v>
      </c>
      <c r="Q10" s="14">
        <v>14.702</v>
      </c>
    </row>
    <row r="11" spans="1:19" x14ac:dyDescent="0.25">
      <c r="A11" s="3" t="s">
        <v>40</v>
      </c>
      <c r="B11" s="14">
        <v>3.2</v>
      </c>
      <c r="C11" s="14">
        <v>8.5</v>
      </c>
      <c r="D11" s="14">
        <v>6.7</v>
      </c>
      <c r="E11" s="14">
        <v>16.7</v>
      </c>
      <c r="F11" s="14">
        <v>9</v>
      </c>
      <c r="G11" s="14">
        <v>0</v>
      </c>
      <c r="H11" s="14">
        <v>12.907</v>
      </c>
      <c r="I11" s="14">
        <v>22.558</v>
      </c>
      <c r="J11" s="14">
        <v>0</v>
      </c>
      <c r="K11" s="36">
        <v>24.869</v>
      </c>
      <c r="L11" s="14">
        <v>7.3680000000000003</v>
      </c>
      <c r="M11" s="14">
        <v>0</v>
      </c>
      <c r="N11" s="14">
        <v>0</v>
      </c>
      <c r="O11" s="14">
        <v>11.657</v>
      </c>
      <c r="P11" s="14">
        <v>0</v>
      </c>
      <c r="Q11" s="14">
        <v>0</v>
      </c>
    </row>
    <row r="12" spans="1:19" x14ac:dyDescent="0.25">
      <c r="A12" s="3" t="s">
        <v>41</v>
      </c>
      <c r="B12" s="14">
        <v>172.2</v>
      </c>
      <c r="C12" s="14">
        <v>188.1</v>
      </c>
      <c r="D12" s="14">
        <v>140.30000000000001</v>
      </c>
      <c r="E12" s="14">
        <v>157.4</v>
      </c>
      <c r="F12" s="14">
        <v>147</v>
      </c>
      <c r="G12" s="14">
        <v>118.1</v>
      </c>
      <c r="H12" s="14">
        <v>102.423</v>
      </c>
      <c r="I12" s="14">
        <v>131.56100000000001</v>
      </c>
      <c r="J12" s="14">
        <v>115.703</v>
      </c>
      <c r="K12" s="36">
        <v>107.988</v>
      </c>
      <c r="L12" s="14">
        <v>97.361000000000004</v>
      </c>
      <c r="M12" s="14">
        <v>89.832999999999998</v>
      </c>
      <c r="N12" s="14">
        <v>70.539000000000001</v>
      </c>
      <c r="O12" s="14">
        <v>45.962000000000003</v>
      </c>
      <c r="P12" s="14">
        <v>63.564</v>
      </c>
      <c r="Q12" s="14">
        <v>67.766999999999996</v>
      </c>
    </row>
    <row r="13" spans="1:19" x14ac:dyDescent="0.25">
      <c r="A13" s="3" t="s">
        <v>23</v>
      </c>
      <c r="B13" s="37">
        <f t="shared" ref="B13:H13" si="0">SUM(B6:B12)</f>
        <v>3195.5999999999995</v>
      </c>
      <c r="C13" s="37">
        <f t="shared" si="0"/>
        <v>2856.6</v>
      </c>
      <c r="D13" s="37">
        <f t="shared" si="0"/>
        <v>2499.6</v>
      </c>
      <c r="E13" s="37">
        <f t="shared" si="0"/>
        <v>2457.1999999999998</v>
      </c>
      <c r="F13" s="37">
        <f t="shared" si="0"/>
        <v>2316.1999999999998</v>
      </c>
      <c r="G13" s="37">
        <f t="shared" si="0"/>
        <v>1935.6999999999998</v>
      </c>
      <c r="H13" s="37">
        <f t="shared" si="0"/>
        <v>1720.77</v>
      </c>
      <c r="I13" s="37">
        <f t="shared" ref="I13:Q13" si="1">SUM(I6:I12)</f>
        <v>1664.7760000000001</v>
      </c>
      <c r="J13" s="37">
        <f t="shared" si="1"/>
        <v>1583.2650000000001</v>
      </c>
      <c r="K13" s="37">
        <f t="shared" si="1"/>
        <v>1408.461</v>
      </c>
      <c r="L13" s="37">
        <f t="shared" si="1"/>
        <v>1286.6560000000002</v>
      </c>
      <c r="M13" s="37">
        <f t="shared" si="1"/>
        <v>1236.1380000000001</v>
      </c>
      <c r="N13" s="37">
        <f t="shared" si="1"/>
        <v>1085.6980000000001</v>
      </c>
      <c r="O13" s="37">
        <f t="shared" si="1"/>
        <v>982.36400000000003</v>
      </c>
      <c r="P13" s="37">
        <f t="shared" si="1"/>
        <v>975.40299999999991</v>
      </c>
      <c r="Q13" s="37">
        <f t="shared" si="1"/>
        <v>880.77099999999996</v>
      </c>
    </row>
    <row r="14" spans="1:19" x14ac:dyDescent="0.25">
      <c r="A14" s="3" t="s">
        <v>49</v>
      </c>
      <c r="B14" s="38">
        <v>0</v>
      </c>
      <c r="C14" s="38">
        <v>0</v>
      </c>
      <c r="D14" s="38">
        <v>0</v>
      </c>
      <c r="E14" s="38">
        <v>0</v>
      </c>
      <c r="F14" s="38">
        <v>0</v>
      </c>
      <c r="G14" s="38">
        <v>0</v>
      </c>
      <c r="H14" s="38">
        <v>0</v>
      </c>
      <c r="I14" s="38">
        <v>0</v>
      </c>
      <c r="J14" s="38">
        <v>0</v>
      </c>
      <c r="K14" s="38">
        <v>0</v>
      </c>
      <c r="L14" s="38">
        <v>0</v>
      </c>
      <c r="M14" s="38">
        <v>0</v>
      </c>
      <c r="N14" s="38">
        <v>5.1520000000000001</v>
      </c>
      <c r="O14" s="38">
        <v>6.2380000000000004</v>
      </c>
      <c r="P14" s="38">
        <v>0.84599999999999997</v>
      </c>
      <c r="Q14" s="38">
        <v>1.95</v>
      </c>
    </row>
    <row r="15" spans="1:19" x14ac:dyDescent="0.25">
      <c r="A15" s="3" t="s">
        <v>42</v>
      </c>
      <c r="B15" s="14">
        <v>1008.5</v>
      </c>
      <c r="C15" s="14">
        <v>1019.2</v>
      </c>
      <c r="D15" s="14">
        <v>1030.7</v>
      </c>
      <c r="E15" s="14">
        <v>1023.2</v>
      </c>
      <c r="F15" s="14">
        <v>924.8</v>
      </c>
      <c r="G15" s="14">
        <v>893.6</v>
      </c>
      <c r="H15" s="14">
        <v>899.697</v>
      </c>
      <c r="I15" s="14">
        <v>818.88900000000001</v>
      </c>
      <c r="J15" s="14">
        <v>763.88900000000001</v>
      </c>
      <c r="K15" s="36">
        <v>654.85</v>
      </c>
      <c r="L15" s="14">
        <v>516.42700000000002</v>
      </c>
      <c r="M15" s="14">
        <v>435.601</v>
      </c>
      <c r="N15" s="14">
        <v>363.41899999999998</v>
      </c>
      <c r="O15" s="14">
        <v>335.00400000000002</v>
      </c>
      <c r="P15" s="14">
        <v>324.18200000000002</v>
      </c>
      <c r="Q15" s="14">
        <v>276.62700000000001</v>
      </c>
    </row>
    <row r="16" spans="1:19" x14ac:dyDescent="0.25">
      <c r="A16" s="3" t="s">
        <v>116</v>
      </c>
      <c r="B16" s="14">
        <v>249.8</v>
      </c>
      <c r="C16" s="14">
        <v>242.3</v>
      </c>
      <c r="D16" s="14">
        <v>243</v>
      </c>
      <c r="E16" s="14">
        <v>243.2</v>
      </c>
      <c r="F16" s="14">
        <v>0</v>
      </c>
      <c r="G16" s="14">
        <v>0</v>
      </c>
      <c r="H16" s="14">
        <v>0</v>
      </c>
      <c r="I16" s="14">
        <v>0</v>
      </c>
      <c r="J16" s="14">
        <v>0</v>
      </c>
      <c r="K16" s="36">
        <v>0</v>
      </c>
      <c r="L16" s="14">
        <v>0</v>
      </c>
      <c r="M16" s="14">
        <v>0</v>
      </c>
      <c r="N16" s="14">
        <v>0</v>
      </c>
      <c r="O16" s="14">
        <v>0</v>
      </c>
      <c r="P16" s="14">
        <v>0</v>
      </c>
      <c r="Q16" s="14">
        <v>0</v>
      </c>
    </row>
    <row r="17" spans="1:17" x14ac:dyDescent="0.25">
      <c r="A17" s="3" t="s">
        <v>43</v>
      </c>
      <c r="B17" s="14">
        <v>173.5</v>
      </c>
      <c r="C17" s="14">
        <v>180.9</v>
      </c>
      <c r="D17" s="14">
        <v>191.4</v>
      </c>
      <c r="E17" s="14">
        <v>76.3</v>
      </c>
      <c r="F17" s="14">
        <v>80.5</v>
      </c>
      <c r="G17" s="14">
        <v>81.2</v>
      </c>
      <c r="H17" s="14">
        <v>48.417000000000002</v>
      </c>
      <c r="I17" s="14">
        <v>48.796999999999997</v>
      </c>
      <c r="J17" s="14">
        <v>11.948</v>
      </c>
      <c r="K17" s="36">
        <v>12.473000000000001</v>
      </c>
      <c r="L17" s="14">
        <v>12.749000000000001</v>
      </c>
      <c r="M17" s="14">
        <v>13.209</v>
      </c>
      <c r="N17" s="14">
        <v>14.013999999999999</v>
      </c>
      <c r="O17" s="14">
        <v>3.7519999999999998</v>
      </c>
      <c r="P17" s="14">
        <v>3.718</v>
      </c>
      <c r="Q17" s="14">
        <v>3.7130000000000001</v>
      </c>
    </row>
    <row r="18" spans="1:17" ht="20" thickBot="1" x14ac:dyDescent="0.3">
      <c r="A18" s="8" t="s">
        <v>10</v>
      </c>
      <c r="B18" s="39">
        <f t="shared" ref="B18:H18" si="2">SUM(B13:B17)</f>
        <v>4627.3999999999996</v>
      </c>
      <c r="C18" s="39">
        <f t="shared" si="2"/>
        <v>4299</v>
      </c>
      <c r="D18" s="39">
        <f t="shared" si="2"/>
        <v>3964.7000000000003</v>
      </c>
      <c r="E18" s="39">
        <f t="shared" si="2"/>
        <v>3799.8999999999996</v>
      </c>
      <c r="F18" s="39">
        <f t="shared" si="2"/>
        <v>3321.5</v>
      </c>
      <c r="G18" s="39">
        <f t="shared" si="2"/>
        <v>2910.4999999999995</v>
      </c>
      <c r="H18" s="39">
        <f t="shared" si="2"/>
        <v>2668.884</v>
      </c>
      <c r="I18" s="39">
        <f t="shared" ref="I18:Q18" si="3">SUM(I13:I17)</f>
        <v>2532.462</v>
      </c>
      <c r="J18" s="39">
        <f t="shared" si="3"/>
        <v>2359.1019999999999</v>
      </c>
      <c r="K18" s="39">
        <f t="shared" si="3"/>
        <v>2075.7840000000001</v>
      </c>
      <c r="L18" s="39">
        <f t="shared" si="3"/>
        <v>1815.8320000000001</v>
      </c>
      <c r="M18" s="39">
        <f t="shared" si="3"/>
        <v>1684.9480000000001</v>
      </c>
      <c r="N18" s="39">
        <f t="shared" si="3"/>
        <v>1468.2830000000001</v>
      </c>
      <c r="O18" s="39">
        <f t="shared" si="3"/>
        <v>1327.3580000000002</v>
      </c>
      <c r="P18" s="39">
        <f t="shared" si="3"/>
        <v>1304.1490000000001</v>
      </c>
      <c r="Q18" s="39">
        <f t="shared" si="3"/>
        <v>1163.0609999999999</v>
      </c>
    </row>
    <row r="19" spans="1:17" ht="20" thickTop="1" x14ac:dyDescent="0.25">
      <c r="A19" s="8" t="s">
        <v>24</v>
      </c>
      <c r="B19" s="14"/>
      <c r="C19" s="14"/>
      <c r="D19" s="14"/>
      <c r="E19" s="14"/>
      <c r="F19" s="14"/>
      <c r="G19" s="14"/>
      <c r="H19" s="14"/>
      <c r="I19" s="14"/>
      <c r="J19" s="14"/>
      <c r="K19" s="36"/>
      <c r="L19" s="14"/>
      <c r="M19" s="14"/>
      <c r="N19" s="14"/>
      <c r="O19" s="14"/>
      <c r="P19" s="14"/>
      <c r="Q19" s="14"/>
    </row>
    <row r="20" spans="1:17" x14ac:dyDescent="0.25">
      <c r="A20" s="3" t="s">
        <v>2</v>
      </c>
      <c r="B20" s="14"/>
      <c r="C20" s="14"/>
      <c r="D20" s="14"/>
      <c r="E20" s="14"/>
      <c r="F20" s="14"/>
      <c r="G20" s="14"/>
      <c r="H20" s="14"/>
      <c r="I20" s="14"/>
      <c r="J20" s="14"/>
      <c r="K20" s="36"/>
      <c r="L20" s="14"/>
      <c r="M20" s="14"/>
      <c r="N20" s="14"/>
      <c r="O20" s="14"/>
      <c r="P20" s="14"/>
      <c r="Q20" s="14"/>
    </row>
    <row r="21" spans="1:17" x14ac:dyDescent="0.25">
      <c r="A21" s="3" t="s">
        <v>44</v>
      </c>
      <c r="B21" s="14">
        <v>150.30000000000001</v>
      </c>
      <c r="C21" s="14">
        <v>60</v>
      </c>
      <c r="D21" s="14">
        <v>40</v>
      </c>
      <c r="E21" s="14">
        <v>3</v>
      </c>
      <c r="F21" s="14">
        <v>3</v>
      </c>
      <c r="G21" s="14">
        <v>3</v>
      </c>
      <c r="H21" s="14">
        <v>10.481999999999999</v>
      </c>
      <c r="I21" s="14">
        <v>62.05</v>
      </c>
      <c r="J21" s="14">
        <v>90</v>
      </c>
      <c r="K21" s="36">
        <v>0</v>
      </c>
      <c r="L21" s="14">
        <v>0</v>
      </c>
      <c r="M21" s="14">
        <v>0</v>
      </c>
      <c r="N21" s="14">
        <v>0</v>
      </c>
      <c r="O21" s="14">
        <v>0</v>
      </c>
      <c r="P21" s="14">
        <v>0</v>
      </c>
      <c r="Q21" s="14">
        <v>0</v>
      </c>
    </row>
    <row r="22" spans="1:17" x14ac:dyDescent="0.25">
      <c r="A22" s="3" t="s">
        <v>11</v>
      </c>
      <c r="B22" s="14">
        <v>277.2</v>
      </c>
      <c r="C22" s="14">
        <v>233.1</v>
      </c>
      <c r="D22" s="14">
        <v>207</v>
      </c>
      <c r="E22" s="14">
        <v>192.8</v>
      </c>
      <c r="F22" s="14">
        <v>193.6</v>
      </c>
      <c r="G22" s="14">
        <v>147.5</v>
      </c>
      <c r="H22" s="14">
        <v>108.74</v>
      </c>
      <c r="I22" s="14">
        <v>125.973</v>
      </c>
      <c r="J22" s="14">
        <v>103.90900000000001</v>
      </c>
      <c r="K22" s="36">
        <v>91.253</v>
      </c>
      <c r="L22" s="14">
        <v>78.019000000000005</v>
      </c>
      <c r="M22" s="14">
        <v>73.778999999999996</v>
      </c>
      <c r="N22" s="14">
        <v>60.473999999999997</v>
      </c>
      <c r="O22" s="14">
        <v>53.49</v>
      </c>
      <c r="P22" s="14">
        <v>63.948999999999998</v>
      </c>
      <c r="Q22" s="14">
        <v>55.353000000000002</v>
      </c>
    </row>
    <row r="23" spans="1:17" x14ac:dyDescent="0.25">
      <c r="A23" s="3" t="s">
        <v>33</v>
      </c>
      <c r="B23" s="14">
        <v>282.39999999999998</v>
      </c>
      <c r="C23" s="14">
        <v>298.3</v>
      </c>
      <c r="D23" s="14">
        <v>272.10000000000002</v>
      </c>
      <c r="E23" s="14">
        <v>251.5</v>
      </c>
      <c r="F23" s="14">
        <v>240.8</v>
      </c>
      <c r="G23" s="14">
        <v>194</v>
      </c>
      <c r="H23" s="14">
        <v>156.422</v>
      </c>
      <c r="I23" s="14">
        <v>185.143</v>
      </c>
      <c r="J23" s="14">
        <v>174.00200000000001</v>
      </c>
      <c r="K23" s="36">
        <v>148.57900000000001</v>
      </c>
      <c r="L23" s="14">
        <v>126.155</v>
      </c>
      <c r="M23" s="14">
        <v>111.962</v>
      </c>
      <c r="N23" s="14">
        <v>96.412000000000006</v>
      </c>
      <c r="O23" s="14">
        <v>66.019000000000005</v>
      </c>
      <c r="P23" s="14">
        <v>83.545000000000002</v>
      </c>
      <c r="Q23" s="14">
        <v>75.564999999999998</v>
      </c>
    </row>
    <row r="24" spans="1:17" x14ac:dyDescent="0.25">
      <c r="A24" s="3" t="s">
        <v>117</v>
      </c>
      <c r="B24" s="14">
        <v>92.7</v>
      </c>
      <c r="C24" s="14">
        <v>90.8</v>
      </c>
      <c r="D24" s="14">
        <v>93.6</v>
      </c>
      <c r="E24" s="14">
        <v>97.4</v>
      </c>
      <c r="F24" s="14">
        <v>0</v>
      </c>
      <c r="G24" s="14">
        <v>0</v>
      </c>
      <c r="H24" s="14">
        <v>0</v>
      </c>
      <c r="I24" s="14">
        <v>0</v>
      </c>
      <c r="J24" s="14">
        <v>0</v>
      </c>
      <c r="K24" s="36">
        <v>0</v>
      </c>
      <c r="L24" s="14">
        <v>0</v>
      </c>
      <c r="M24" s="14">
        <v>0</v>
      </c>
      <c r="N24" s="14">
        <v>0</v>
      </c>
      <c r="O24" s="14">
        <v>0</v>
      </c>
      <c r="P24" s="14">
        <v>0</v>
      </c>
      <c r="Q24" s="14">
        <v>0</v>
      </c>
    </row>
    <row r="25" spans="1:17" x14ac:dyDescent="0.25">
      <c r="A25" s="3" t="s">
        <v>12</v>
      </c>
      <c r="B25" s="14">
        <v>0</v>
      </c>
      <c r="C25" s="14">
        <v>0</v>
      </c>
      <c r="D25" s="14">
        <v>0</v>
      </c>
      <c r="E25" s="14">
        <v>0</v>
      </c>
      <c r="F25" s="14">
        <v>0</v>
      </c>
      <c r="G25" s="14">
        <v>6.5</v>
      </c>
      <c r="H25" s="14">
        <v>0</v>
      </c>
      <c r="I25" s="14">
        <v>0</v>
      </c>
      <c r="J25" s="14">
        <v>7.4420000000000002</v>
      </c>
      <c r="K25" s="36">
        <v>0</v>
      </c>
      <c r="L25" s="14">
        <v>0</v>
      </c>
      <c r="M25" s="14">
        <v>2.077</v>
      </c>
      <c r="N25" s="14">
        <v>5.2990000000000004</v>
      </c>
      <c r="O25" s="14">
        <v>0</v>
      </c>
      <c r="P25" s="14">
        <v>0.499</v>
      </c>
      <c r="Q25" s="14">
        <v>6.8730000000000002</v>
      </c>
    </row>
    <row r="26" spans="1:17" x14ac:dyDescent="0.25">
      <c r="A26" s="3" t="s">
        <v>26</v>
      </c>
      <c r="B26" s="37">
        <f t="shared" ref="B26:H26" si="4">SUM(B21:B25)</f>
        <v>802.6</v>
      </c>
      <c r="C26" s="37">
        <f t="shared" si="4"/>
        <v>682.2</v>
      </c>
      <c r="D26" s="37">
        <f t="shared" si="4"/>
        <v>612.70000000000005</v>
      </c>
      <c r="E26" s="37">
        <f t="shared" si="4"/>
        <v>544.70000000000005</v>
      </c>
      <c r="F26" s="37">
        <f t="shared" si="4"/>
        <v>437.4</v>
      </c>
      <c r="G26" s="37">
        <f t="shared" si="4"/>
        <v>351</v>
      </c>
      <c r="H26" s="37">
        <f t="shared" si="4"/>
        <v>275.64400000000001</v>
      </c>
      <c r="I26" s="37">
        <f t="shared" ref="I26:Q26" si="5">SUM(I21:I25)</f>
        <v>373.166</v>
      </c>
      <c r="J26" s="37">
        <f t="shared" si="5"/>
        <v>375.35300000000001</v>
      </c>
      <c r="K26" s="37">
        <f t="shared" si="5"/>
        <v>239.83199999999999</v>
      </c>
      <c r="L26" s="37">
        <f t="shared" si="5"/>
        <v>204.17400000000001</v>
      </c>
      <c r="M26" s="37">
        <f t="shared" si="5"/>
        <v>187.81799999999998</v>
      </c>
      <c r="N26" s="37">
        <f t="shared" si="5"/>
        <v>162.185</v>
      </c>
      <c r="O26" s="37">
        <f t="shared" si="5"/>
        <v>119.50900000000001</v>
      </c>
      <c r="P26" s="37">
        <f t="shared" si="5"/>
        <v>147.99299999999999</v>
      </c>
      <c r="Q26" s="37">
        <f t="shared" si="5"/>
        <v>137.791</v>
      </c>
    </row>
    <row r="27" spans="1:17" x14ac:dyDescent="0.25">
      <c r="A27" s="3" t="s">
        <v>28</v>
      </c>
      <c r="B27" s="14">
        <v>404.7</v>
      </c>
      <c r="C27" s="14">
        <v>330</v>
      </c>
      <c r="D27" s="14">
        <v>365</v>
      </c>
      <c r="E27" s="14">
        <v>342</v>
      </c>
      <c r="F27" s="14">
        <v>497</v>
      </c>
      <c r="G27" s="14">
        <v>412</v>
      </c>
      <c r="H27" s="14">
        <v>379.51799999999997</v>
      </c>
      <c r="I27" s="14">
        <v>302.95</v>
      </c>
      <c r="J27" s="14">
        <v>0</v>
      </c>
      <c r="K27" s="36">
        <v>0</v>
      </c>
      <c r="L27" s="14">
        <v>0</v>
      </c>
      <c r="M27" s="14">
        <v>0</v>
      </c>
      <c r="N27" s="14">
        <v>0</v>
      </c>
      <c r="O27" s="14">
        <v>0</v>
      </c>
      <c r="P27" s="14">
        <v>0</v>
      </c>
      <c r="Q27" s="14">
        <v>0</v>
      </c>
    </row>
    <row r="28" spans="1:17" x14ac:dyDescent="0.25">
      <c r="A28" s="3" t="s">
        <v>118</v>
      </c>
      <c r="B28" s="14">
        <v>161.19999999999999</v>
      </c>
      <c r="C28" s="14">
        <v>156</v>
      </c>
      <c r="D28" s="14">
        <v>151.5</v>
      </c>
      <c r="E28" s="14">
        <v>148.19999999999999</v>
      </c>
      <c r="F28" s="14">
        <v>0</v>
      </c>
      <c r="G28" s="14">
        <v>0</v>
      </c>
      <c r="H28" s="14">
        <v>0</v>
      </c>
      <c r="I28" s="14">
        <v>0</v>
      </c>
      <c r="J28" s="14">
        <v>0</v>
      </c>
      <c r="K28" s="36">
        <v>0</v>
      </c>
      <c r="L28" s="14">
        <v>0</v>
      </c>
      <c r="M28" s="14">
        <v>0</v>
      </c>
      <c r="N28" s="14">
        <v>0</v>
      </c>
      <c r="O28" s="14">
        <v>0</v>
      </c>
      <c r="P28" s="14">
        <v>0</v>
      </c>
      <c r="Q28" s="14">
        <v>0</v>
      </c>
    </row>
    <row r="29" spans="1:17" x14ac:dyDescent="0.25">
      <c r="A29" s="3" t="s">
        <v>27</v>
      </c>
      <c r="B29" s="14">
        <v>92.9</v>
      </c>
      <c r="C29" s="14">
        <v>88.6</v>
      </c>
      <c r="D29" s="14">
        <v>102.3</v>
      </c>
      <c r="E29" s="14">
        <v>99.4</v>
      </c>
      <c r="F29" s="14">
        <v>84.4</v>
      </c>
      <c r="G29" s="14">
        <v>50.6</v>
      </c>
      <c r="H29" s="14">
        <v>80.628</v>
      </c>
      <c r="I29" s="14">
        <v>55.057000000000002</v>
      </c>
      <c r="J29" s="14">
        <v>68.531999999999996</v>
      </c>
      <c r="K29" s="36">
        <v>63.255000000000003</v>
      </c>
      <c r="L29" s="14">
        <v>51.298000000000002</v>
      </c>
      <c r="M29" s="14">
        <v>38.154000000000003</v>
      </c>
      <c r="N29" s="14">
        <v>23.585999999999999</v>
      </c>
      <c r="O29" s="14">
        <v>17.006</v>
      </c>
      <c r="P29" s="14">
        <v>13.897</v>
      </c>
      <c r="Q29" s="14">
        <v>15.109</v>
      </c>
    </row>
    <row r="30" spans="1:17" x14ac:dyDescent="0.25">
      <c r="A30" s="3" t="s">
        <v>119</v>
      </c>
      <c r="B30" s="14">
        <v>4.8</v>
      </c>
      <c r="C30" s="14">
        <v>0</v>
      </c>
      <c r="D30" s="14">
        <v>0</v>
      </c>
      <c r="E30" s="14">
        <v>0</v>
      </c>
      <c r="F30" s="14">
        <v>0</v>
      </c>
      <c r="G30" s="14">
        <v>0</v>
      </c>
      <c r="H30" s="14">
        <v>0</v>
      </c>
      <c r="I30" s="14">
        <v>0</v>
      </c>
      <c r="J30" s="14"/>
      <c r="K30" s="36"/>
      <c r="L30" s="14"/>
      <c r="M30" s="14"/>
      <c r="N30" s="14"/>
      <c r="O30" s="14"/>
      <c r="P30" s="14"/>
      <c r="Q30" s="14"/>
    </row>
    <row r="31" spans="1:17" x14ac:dyDescent="0.25">
      <c r="A31" s="3" t="s">
        <v>45</v>
      </c>
      <c r="B31" s="14"/>
      <c r="C31" s="14"/>
      <c r="D31" s="14"/>
      <c r="E31" s="14"/>
      <c r="F31" s="14"/>
      <c r="G31" s="14"/>
      <c r="H31" s="14"/>
      <c r="I31" s="14"/>
      <c r="J31" s="14"/>
      <c r="K31" s="36"/>
      <c r="L31" s="14"/>
      <c r="M31" s="14"/>
      <c r="N31" s="14"/>
      <c r="O31" s="14"/>
      <c r="P31" s="14"/>
      <c r="Q31" s="14"/>
    </row>
    <row r="32" spans="1:17" x14ac:dyDescent="0.25">
      <c r="A32" s="3" t="s">
        <v>46</v>
      </c>
      <c r="B32" s="14">
        <v>0</v>
      </c>
      <c r="C32" s="14">
        <v>0</v>
      </c>
      <c r="D32" s="14">
        <v>0</v>
      </c>
      <c r="E32" s="14">
        <v>0</v>
      </c>
      <c r="F32" s="14">
        <v>0</v>
      </c>
      <c r="G32" s="14">
        <v>0</v>
      </c>
      <c r="H32" s="14">
        <v>0</v>
      </c>
      <c r="I32" s="14">
        <v>0</v>
      </c>
      <c r="J32" s="14">
        <v>0</v>
      </c>
      <c r="K32" s="36">
        <v>0</v>
      </c>
      <c r="L32" s="14">
        <v>0</v>
      </c>
      <c r="M32" s="14">
        <v>0</v>
      </c>
      <c r="N32" s="14">
        <v>0</v>
      </c>
      <c r="O32" s="14">
        <v>0</v>
      </c>
      <c r="P32" s="14">
        <v>0</v>
      </c>
      <c r="Q32" s="14">
        <v>0</v>
      </c>
    </row>
    <row r="33" spans="1:17" x14ac:dyDescent="0.25">
      <c r="A33" s="3" t="s">
        <v>13</v>
      </c>
      <c r="B33" s="14">
        <v>5.8</v>
      </c>
      <c r="C33" s="14">
        <v>5.8</v>
      </c>
      <c r="D33" s="14">
        <v>5.7</v>
      </c>
      <c r="E33" s="14">
        <v>2.9</v>
      </c>
      <c r="F33" s="14">
        <v>2.9</v>
      </c>
      <c r="G33" s="14">
        <v>2.9</v>
      </c>
      <c r="H33" s="14">
        <v>2.8919999999999999</v>
      </c>
      <c r="I33" s="14">
        <v>2.8959999999999999</v>
      </c>
      <c r="J33" s="14">
        <v>2.9590000000000001</v>
      </c>
      <c r="K33" s="36">
        <v>2.968</v>
      </c>
      <c r="L33" s="14">
        <v>2.9660000000000002</v>
      </c>
      <c r="M33" s="14">
        <v>2.9529999999999998</v>
      </c>
      <c r="N33" s="14">
        <v>2.948</v>
      </c>
      <c r="O33" s="14">
        <v>1.474</v>
      </c>
      <c r="P33" s="14">
        <v>1.4850000000000001</v>
      </c>
      <c r="Q33" s="14">
        <v>1.4910000000000001</v>
      </c>
    </row>
    <row r="34" spans="1:17" x14ac:dyDescent="0.25">
      <c r="A34" s="3" t="s">
        <v>29</v>
      </c>
      <c r="B34" s="14">
        <v>2.8</v>
      </c>
      <c r="C34" s="14">
        <v>96.2</v>
      </c>
      <c r="D34" s="14">
        <v>59.1</v>
      </c>
      <c r="E34" s="14">
        <v>67.2</v>
      </c>
      <c r="F34" s="14">
        <v>3</v>
      </c>
      <c r="G34" s="14">
        <v>8.5</v>
      </c>
      <c r="H34" s="14">
        <v>37.363</v>
      </c>
      <c r="I34" s="14">
        <v>2.024</v>
      </c>
      <c r="J34" s="14">
        <v>33.744</v>
      </c>
      <c r="K34" s="36">
        <v>69.846999999999994</v>
      </c>
      <c r="L34" s="14">
        <v>61.436</v>
      </c>
      <c r="M34" s="14">
        <v>16.856000000000002</v>
      </c>
      <c r="N34" s="14">
        <v>2.8889999999999998</v>
      </c>
      <c r="O34" s="14">
        <v>0.33300000000000002</v>
      </c>
      <c r="P34" s="14">
        <v>1.5589999999999999</v>
      </c>
      <c r="Q34" s="14">
        <v>0.22700000000000001</v>
      </c>
    </row>
    <row r="35" spans="1:17" x14ac:dyDescent="0.25">
      <c r="A35" s="3" t="s">
        <v>14</v>
      </c>
      <c r="B35" s="14">
        <v>3239.7</v>
      </c>
      <c r="C35" s="14">
        <v>2970.9</v>
      </c>
      <c r="D35" s="14">
        <v>2689.6</v>
      </c>
      <c r="E35" s="14">
        <v>2633.9</v>
      </c>
      <c r="F35" s="14">
        <v>2341.6</v>
      </c>
      <c r="G35" s="14">
        <v>2110.6</v>
      </c>
      <c r="H35" s="14">
        <v>1940.143</v>
      </c>
      <c r="I35" s="14">
        <v>1842.7719999999999</v>
      </c>
      <c r="J35" s="14">
        <v>1886.35</v>
      </c>
      <c r="K35" s="36">
        <v>1688.7809999999999</v>
      </c>
      <c r="L35" s="14">
        <v>1477.6010000000001</v>
      </c>
      <c r="M35" s="14">
        <v>1424.3710000000001</v>
      </c>
      <c r="N35" s="14">
        <v>1258.183</v>
      </c>
      <c r="O35" s="14">
        <v>1175.6410000000001</v>
      </c>
      <c r="P35" s="14">
        <v>1134.2439999999999</v>
      </c>
      <c r="Q35" s="14">
        <v>996.05</v>
      </c>
    </row>
    <row r="36" spans="1:17" x14ac:dyDescent="0.25">
      <c r="A36" s="3" t="s">
        <v>30</v>
      </c>
      <c r="B36" s="14">
        <v>-87.1</v>
      </c>
      <c r="C36" s="14">
        <v>-30.7</v>
      </c>
      <c r="D36" s="14">
        <v>-21.2</v>
      </c>
      <c r="E36" s="14">
        <v>-38.4</v>
      </c>
      <c r="F36" s="14">
        <v>-44.8</v>
      </c>
      <c r="G36" s="14">
        <v>-25.1</v>
      </c>
      <c r="H36" s="14">
        <v>-47.304000000000002</v>
      </c>
      <c r="I36" s="14">
        <v>-46.402999999999999</v>
      </c>
      <c r="J36" s="14">
        <v>-7.8360000000000003</v>
      </c>
      <c r="K36" s="36">
        <v>11.101000000000001</v>
      </c>
      <c r="L36" s="14">
        <v>18.356999999999999</v>
      </c>
      <c r="M36" s="14">
        <v>14.795999999999999</v>
      </c>
      <c r="N36" s="14">
        <v>18.492000000000001</v>
      </c>
      <c r="O36" s="14">
        <v>13.395</v>
      </c>
      <c r="P36" s="14">
        <v>4.9710000000000001</v>
      </c>
      <c r="Q36" s="14">
        <v>12.393000000000001</v>
      </c>
    </row>
    <row r="37" spans="1:17" x14ac:dyDescent="0.25">
      <c r="A37" s="8" t="s">
        <v>31</v>
      </c>
      <c r="B37" s="40">
        <f t="shared" ref="B37:H37" si="6">SUM(B32:B36)</f>
        <v>3161.2</v>
      </c>
      <c r="C37" s="40">
        <f t="shared" si="6"/>
        <v>3042.2000000000003</v>
      </c>
      <c r="D37" s="40">
        <f t="shared" si="6"/>
        <v>2733.2000000000003</v>
      </c>
      <c r="E37" s="40">
        <f t="shared" si="6"/>
        <v>2665.6</v>
      </c>
      <c r="F37" s="40">
        <f t="shared" si="6"/>
        <v>2302.6999999999998</v>
      </c>
      <c r="G37" s="40">
        <f t="shared" si="6"/>
        <v>2096.9</v>
      </c>
      <c r="H37" s="40">
        <f t="shared" si="6"/>
        <v>1933.0940000000001</v>
      </c>
      <c r="I37" s="40">
        <f t="shared" ref="I37:Q37" si="7">SUM(I32:I36)</f>
        <v>1801.289</v>
      </c>
      <c r="J37" s="40">
        <f t="shared" si="7"/>
        <v>1915.2169999999999</v>
      </c>
      <c r="K37" s="40">
        <f t="shared" si="7"/>
        <v>1772.6970000000001</v>
      </c>
      <c r="L37" s="40">
        <f t="shared" si="7"/>
        <v>1560.3600000000001</v>
      </c>
      <c r="M37" s="40">
        <f t="shared" si="7"/>
        <v>1458.9760000000001</v>
      </c>
      <c r="N37" s="40">
        <f t="shared" si="7"/>
        <v>1282.5119999999999</v>
      </c>
      <c r="O37" s="40">
        <f t="shared" si="7"/>
        <v>1190.8430000000001</v>
      </c>
      <c r="P37" s="40">
        <f t="shared" si="7"/>
        <v>1142.259</v>
      </c>
      <c r="Q37" s="40">
        <f t="shared" si="7"/>
        <v>1010.1609999999999</v>
      </c>
    </row>
    <row r="38" spans="1:17" ht="20" thickBot="1" x14ac:dyDescent="0.3">
      <c r="A38" s="8" t="s">
        <v>224</v>
      </c>
      <c r="B38" s="39">
        <f>B26+SUM(B27:B30)+B37</f>
        <v>4627.3999999999996</v>
      </c>
      <c r="C38" s="39">
        <f t="shared" ref="C38:Q38" si="8">C26+SUM(C27:C30)+C37</f>
        <v>4299</v>
      </c>
      <c r="D38" s="39">
        <f t="shared" si="8"/>
        <v>3964.7000000000003</v>
      </c>
      <c r="E38" s="39">
        <f t="shared" si="8"/>
        <v>3799.9</v>
      </c>
      <c r="F38" s="39">
        <f t="shared" si="8"/>
        <v>3321.5</v>
      </c>
      <c r="G38" s="39">
        <f t="shared" si="8"/>
        <v>2910.5</v>
      </c>
      <c r="H38" s="39">
        <f t="shared" si="8"/>
        <v>2668.884</v>
      </c>
      <c r="I38" s="39">
        <f>I26+SUM(I27:I30)+I37</f>
        <v>2532.462</v>
      </c>
      <c r="J38" s="39">
        <f t="shared" si="8"/>
        <v>2359.1019999999999</v>
      </c>
      <c r="K38" s="39">
        <f t="shared" si="8"/>
        <v>2075.7840000000001</v>
      </c>
      <c r="L38" s="39">
        <f t="shared" si="8"/>
        <v>1815.8320000000001</v>
      </c>
      <c r="M38" s="39">
        <f t="shared" si="8"/>
        <v>1684.9480000000001</v>
      </c>
      <c r="N38" s="39">
        <f t="shared" si="8"/>
        <v>1468.2829999999999</v>
      </c>
      <c r="O38" s="39">
        <f t="shared" si="8"/>
        <v>1327.3580000000002</v>
      </c>
      <c r="P38" s="39">
        <f t="shared" si="8"/>
        <v>1304.1489999999999</v>
      </c>
      <c r="Q38" s="39">
        <f t="shared" si="8"/>
        <v>1163.0609999999999</v>
      </c>
    </row>
    <row r="39" spans="1:17" ht="20" thickTop="1" x14ac:dyDescent="0.25">
      <c r="B39" s="10">
        <f t="shared" ref="B39:H39" si="9">B38-B18</f>
        <v>0</v>
      </c>
      <c r="C39" s="10">
        <f t="shared" si="9"/>
        <v>0</v>
      </c>
      <c r="D39" s="10">
        <f t="shared" si="9"/>
        <v>0</v>
      </c>
      <c r="E39" s="10">
        <f t="shared" si="9"/>
        <v>0</v>
      </c>
      <c r="F39" s="10">
        <f t="shared" si="9"/>
        <v>0</v>
      </c>
      <c r="G39" s="10">
        <f t="shared" si="9"/>
        <v>0</v>
      </c>
      <c r="H39" s="10">
        <f t="shared" si="9"/>
        <v>0</v>
      </c>
      <c r="I39" s="10">
        <f t="shared" ref="I39:Q39" si="10">I38-I18</f>
        <v>0</v>
      </c>
      <c r="J39" s="10">
        <f t="shared" si="10"/>
        <v>0</v>
      </c>
      <c r="K39" s="10">
        <f>K38-K18</f>
        <v>0</v>
      </c>
      <c r="L39" s="10">
        <f t="shared" si="10"/>
        <v>0</v>
      </c>
      <c r="M39" s="10">
        <f t="shared" si="10"/>
        <v>0</v>
      </c>
      <c r="N39" s="10">
        <f t="shared" si="10"/>
        <v>0</v>
      </c>
      <c r="O39" s="10">
        <f t="shared" si="10"/>
        <v>0</v>
      </c>
      <c r="P39" s="10">
        <f t="shared" si="10"/>
        <v>0</v>
      </c>
      <c r="Q39" s="10">
        <f t="shared" si="10"/>
        <v>0</v>
      </c>
    </row>
    <row r="40" spans="1:17" x14ac:dyDescent="0.25">
      <c r="A40" s="3" t="s">
        <v>121</v>
      </c>
      <c r="B40" s="14">
        <v>572.75440600000002</v>
      </c>
      <c r="C40" s="14">
        <v>575.46468200000004</v>
      </c>
      <c r="D40" s="14">
        <v>574.15957500000002</v>
      </c>
      <c r="E40" s="14">
        <v>574.12891100000002</v>
      </c>
      <c r="F40" s="14">
        <v>571.80383800000004</v>
      </c>
      <c r="G40" s="14">
        <f>287.591536*2</f>
        <v>575.18307200000004</v>
      </c>
      <c r="H40" s="14">
        <f>289.161924*2</f>
        <v>578.323848</v>
      </c>
      <c r="I40" s="14">
        <f>289.581682*2</f>
        <v>579.163364</v>
      </c>
      <c r="J40" s="14">
        <f>295.867844*2</f>
        <v>591.73568799999998</v>
      </c>
      <c r="K40" s="36">
        <f>296.753544*2</f>
        <v>593.50708799999995</v>
      </c>
      <c r="L40" s="14">
        <f>296.564382*2</f>
        <v>593.12876400000005</v>
      </c>
      <c r="M40" s="14">
        <f>295.258674*2</f>
        <v>590.51734799999997</v>
      </c>
      <c r="N40" s="14">
        <f>294.861424*2</f>
        <v>589.722848</v>
      </c>
      <c r="O40" s="14">
        <f>147.430712*4</f>
        <v>589.722848</v>
      </c>
      <c r="P40" s="14">
        <f>148.530712*4</f>
        <v>594.12284799999998</v>
      </c>
      <c r="Q40" s="14">
        <f>149.120712*4</f>
        <v>596.48284799999999</v>
      </c>
    </row>
    <row r="41" spans="1:17" x14ac:dyDescent="0.25">
      <c r="A41" s="3" t="s">
        <v>15</v>
      </c>
      <c r="B41" s="12">
        <f t="shared" ref="B41:H41" si="11">B37/B40</f>
        <v>5.5192940759324332</v>
      </c>
      <c r="C41" s="12">
        <f t="shared" si="11"/>
        <v>5.2865103544269294</v>
      </c>
      <c r="D41" s="12">
        <f t="shared" si="11"/>
        <v>4.760349071945722</v>
      </c>
      <c r="E41" s="12">
        <f t="shared" si="11"/>
        <v>4.6428597287622049</v>
      </c>
      <c r="F41" s="12">
        <f t="shared" si="11"/>
        <v>4.0270803498874024</v>
      </c>
      <c r="G41" s="12">
        <f t="shared" si="11"/>
        <v>3.6456218934064872</v>
      </c>
      <c r="H41" s="12">
        <f t="shared" si="11"/>
        <v>3.3425804705878219</v>
      </c>
      <c r="I41" s="12">
        <f t="shared" ref="I41:Q41" si="12">I37/I40</f>
        <v>3.1101570160781096</v>
      </c>
      <c r="J41" s="12">
        <f t="shared" si="12"/>
        <v>3.2366089097536399</v>
      </c>
      <c r="K41" s="12">
        <f t="shared" si="12"/>
        <v>2.9868168988067758</v>
      </c>
      <c r="L41" s="12">
        <f t="shared" si="12"/>
        <v>2.6307272462678948</v>
      </c>
      <c r="M41" s="12">
        <f t="shared" si="12"/>
        <v>2.4706742400394308</v>
      </c>
      <c r="N41" s="12">
        <f t="shared" si="12"/>
        <v>2.1747707492588111</v>
      </c>
      <c r="O41" s="12">
        <f t="shared" si="12"/>
        <v>2.0193265430339915</v>
      </c>
      <c r="P41" s="12">
        <f t="shared" si="12"/>
        <v>1.9225973278846198</v>
      </c>
      <c r="Q41" s="12">
        <f t="shared" si="12"/>
        <v>1.6935289981716288</v>
      </c>
    </row>
    <row r="42" spans="1:17" x14ac:dyDescent="0.25">
      <c r="B42" s="10"/>
      <c r="C42" s="10"/>
      <c r="D42" s="10"/>
      <c r="E42" s="10"/>
      <c r="F42" s="10"/>
      <c r="G42" s="10"/>
      <c r="H42" s="10"/>
      <c r="I42" s="10"/>
      <c r="J42" s="10"/>
      <c r="L42" s="10"/>
      <c r="M42" s="10"/>
      <c r="N42" s="10"/>
      <c r="O42" s="10"/>
      <c r="P42" s="10"/>
      <c r="Q42" s="10"/>
    </row>
    <row r="43" spans="1:17" x14ac:dyDescent="0.25">
      <c r="A43" s="3" t="s">
        <v>50</v>
      </c>
      <c r="B43" s="20">
        <f>(B40/C40)-1</f>
        <v>-4.7097173549913718E-3</v>
      </c>
      <c r="C43" s="20">
        <f t="shared" ref="C43:P43" si="13">(C40/D40)-1</f>
        <v>2.2730736485585545E-3</v>
      </c>
      <c r="D43" s="20">
        <f t="shared" si="13"/>
        <v>5.3409607864152164E-5</v>
      </c>
      <c r="E43" s="20">
        <f t="shared" si="13"/>
        <v>4.0662074045050289E-3</v>
      </c>
      <c r="F43" s="20">
        <f t="shared" si="13"/>
        <v>-5.8750581588743467E-3</v>
      </c>
      <c r="G43" s="20">
        <f t="shared" si="13"/>
        <v>-5.4308256712248815E-3</v>
      </c>
      <c r="H43" s="20">
        <f t="shared" si="13"/>
        <v>-1.4495322946567191E-3</v>
      </c>
      <c r="I43" s="20">
        <f t="shared" si="13"/>
        <v>-2.124651978063552E-2</v>
      </c>
      <c r="J43" s="20">
        <f t="shared" si="13"/>
        <v>-2.9846315837089854E-3</v>
      </c>
      <c r="K43" s="20">
        <f t="shared" si="13"/>
        <v>6.3784463503080424E-4</v>
      </c>
      <c r="L43" s="20">
        <f t="shared" si="13"/>
        <v>4.4222511139504483E-3</v>
      </c>
      <c r="M43" s="20">
        <f t="shared" si="13"/>
        <v>1.3472430357657217E-3</v>
      </c>
      <c r="N43" s="20">
        <f t="shared" si="13"/>
        <v>0</v>
      </c>
      <c r="O43" s="20">
        <f t="shared" si="13"/>
        <v>-7.405875762583003E-3</v>
      </c>
      <c r="P43" s="20">
        <f t="shared" si="13"/>
        <v>-3.9565261732388279E-3</v>
      </c>
      <c r="Q43" s="13"/>
    </row>
    <row r="44" spans="1:17" x14ac:dyDescent="0.25">
      <c r="B44" s="10"/>
      <c r="C44" s="10"/>
      <c r="D44" s="10"/>
      <c r="E44" s="10"/>
      <c r="F44" s="10"/>
      <c r="G44" s="10"/>
      <c r="H44" s="10"/>
      <c r="I44" s="10"/>
      <c r="J44" s="10"/>
      <c r="L44" s="10"/>
      <c r="M44" s="10"/>
      <c r="N44" s="10"/>
      <c r="O44" s="10"/>
      <c r="P44" s="10"/>
      <c r="Q44" s="10"/>
    </row>
    <row r="45" spans="1:17" x14ac:dyDescent="0.25">
      <c r="A45" s="3" t="s">
        <v>39</v>
      </c>
      <c r="B45" s="14">
        <f>B13/B26</f>
        <v>3.9815599302267621</v>
      </c>
      <c r="C45" s="14">
        <f t="shared" ref="C45:Q45" si="14">C13/C26</f>
        <v>4.1873350923482846</v>
      </c>
      <c r="D45" s="14">
        <f t="shared" si="14"/>
        <v>4.0796474620532068</v>
      </c>
      <c r="E45" s="14">
        <f t="shared" si="14"/>
        <v>4.5111070313934265</v>
      </c>
      <c r="F45" s="14">
        <f t="shared" si="14"/>
        <v>5.2953818015546412</v>
      </c>
      <c r="G45" s="14">
        <f t="shared" si="14"/>
        <v>5.5148148148148142</v>
      </c>
      <c r="H45" s="14">
        <f t="shared" si="14"/>
        <v>6.2427261250018136</v>
      </c>
      <c r="I45" s="14">
        <f t="shared" si="14"/>
        <v>4.4612210115605393</v>
      </c>
      <c r="J45" s="14">
        <f t="shared" si="14"/>
        <v>4.21806939068024</v>
      </c>
      <c r="K45" s="14">
        <f t="shared" si="14"/>
        <v>5.8726983888722106</v>
      </c>
      <c r="L45" s="14">
        <f t="shared" si="14"/>
        <v>6.3017622224181338</v>
      </c>
      <c r="M45" s="14">
        <f t="shared" si="14"/>
        <v>6.5815736510877567</v>
      </c>
      <c r="N45" s="14">
        <f t="shared" si="14"/>
        <v>6.694194900884793</v>
      </c>
      <c r="O45" s="14">
        <f t="shared" si="14"/>
        <v>8.2200001673514116</v>
      </c>
      <c r="P45" s="14">
        <f t="shared" si="14"/>
        <v>6.5908725412688431</v>
      </c>
      <c r="Q45" s="14">
        <f t="shared" si="14"/>
        <v>6.3920793085179728</v>
      </c>
    </row>
    <row r="46" spans="1:17" x14ac:dyDescent="0.25">
      <c r="B46" s="10"/>
      <c r="C46" s="10"/>
      <c r="D46" s="10"/>
      <c r="E46" s="10"/>
      <c r="F46" s="10"/>
      <c r="G46" s="10"/>
      <c r="H46" s="10"/>
      <c r="I46" s="10"/>
      <c r="J46" s="10"/>
      <c r="L46" s="10"/>
      <c r="M46" s="10"/>
      <c r="N46" s="10"/>
      <c r="O46" s="10"/>
      <c r="P46" s="10"/>
      <c r="Q46" s="10"/>
    </row>
    <row r="47" spans="1:17" x14ac:dyDescent="0.25">
      <c r="A47" s="8" t="s">
        <v>134</v>
      </c>
      <c r="B47" s="10"/>
      <c r="C47" s="10"/>
      <c r="D47" s="10"/>
      <c r="E47" s="10"/>
      <c r="F47" s="10"/>
      <c r="G47" s="10"/>
      <c r="H47" s="10"/>
      <c r="I47" s="10"/>
      <c r="J47" s="10"/>
      <c r="L47" s="10"/>
      <c r="M47" s="10"/>
      <c r="N47" s="10"/>
      <c r="O47" s="10"/>
      <c r="P47" s="10"/>
      <c r="Q47" s="10"/>
    </row>
    <row r="48" spans="1:17" x14ac:dyDescent="0.25">
      <c r="A48" s="3" t="s">
        <v>135</v>
      </c>
      <c r="B48" s="14">
        <f>B37</f>
        <v>3161.2</v>
      </c>
      <c r="C48" s="14">
        <f t="shared" ref="C48:Q48" si="15">C37</f>
        <v>3042.2000000000003</v>
      </c>
      <c r="D48" s="14">
        <f t="shared" si="15"/>
        <v>2733.2000000000003</v>
      </c>
      <c r="E48" s="14">
        <f t="shared" si="15"/>
        <v>2665.6</v>
      </c>
      <c r="F48" s="14">
        <f t="shared" si="15"/>
        <v>2302.6999999999998</v>
      </c>
      <c r="G48" s="14">
        <f t="shared" si="15"/>
        <v>2096.9</v>
      </c>
      <c r="H48" s="14">
        <f t="shared" si="15"/>
        <v>1933.0940000000001</v>
      </c>
      <c r="I48" s="14">
        <f t="shared" si="15"/>
        <v>1801.289</v>
      </c>
      <c r="J48" s="14">
        <f t="shared" si="15"/>
        <v>1915.2169999999999</v>
      </c>
      <c r="K48" s="14">
        <f t="shared" si="15"/>
        <v>1772.6970000000001</v>
      </c>
      <c r="L48" s="14">
        <f t="shared" si="15"/>
        <v>1560.3600000000001</v>
      </c>
      <c r="M48" s="14">
        <f t="shared" si="15"/>
        <v>1458.9760000000001</v>
      </c>
      <c r="N48" s="14">
        <f t="shared" si="15"/>
        <v>1282.5119999999999</v>
      </c>
      <c r="O48" s="14">
        <f t="shared" si="15"/>
        <v>1190.8430000000001</v>
      </c>
      <c r="P48" s="14">
        <f t="shared" si="15"/>
        <v>1142.259</v>
      </c>
      <c r="Q48" s="14">
        <f t="shared" si="15"/>
        <v>1010.1609999999999</v>
      </c>
    </row>
    <row r="49" spans="1:29" x14ac:dyDescent="0.25">
      <c r="A49" s="3" t="s">
        <v>136</v>
      </c>
      <c r="B49" s="14">
        <f>B27+B21</f>
        <v>555</v>
      </c>
      <c r="C49" s="14">
        <f t="shared" ref="C49:Q49" si="16">C27+C21</f>
        <v>390</v>
      </c>
      <c r="D49" s="14">
        <f t="shared" si="16"/>
        <v>405</v>
      </c>
      <c r="E49" s="14">
        <f t="shared" si="16"/>
        <v>345</v>
      </c>
      <c r="F49" s="14">
        <f t="shared" si="16"/>
        <v>500</v>
      </c>
      <c r="G49" s="14">
        <f t="shared" si="16"/>
        <v>415</v>
      </c>
      <c r="H49" s="14">
        <f t="shared" si="16"/>
        <v>390</v>
      </c>
      <c r="I49" s="14">
        <f t="shared" si="16"/>
        <v>365</v>
      </c>
      <c r="J49" s="14">
        <f t="shared" si="16"/>
        <v>90</v>
      </c>
      <c r="K49" s="14">
        <f t="shared" si="16"/>
        <v>0</v>
      </c>
      <c r="L49" s="14">
        <f t="shared" si="16"/>
        <v>0</v>
      </c>
      <c r="M49" s="14">
        <f t="shared" si="16"/>
        <v>0</v>
      </c>
      <c r="N49" s="14">
        <f t="shared" si="16"/>
        <v>0</v>
      </c>
      <c r="O49" s="14">
        <f t="shared" si="16"/>
        <v>0</v>
      </c>
      <c r="P49" s="14">
        <f t="shared" si="16"/>
        <v>0</v>
      </c>
      <c r="Q49" s="14">
        <f t="shared" si="16"/>
        <v>0</v>
      </c>
    </row>
    <row r="50" spans="1:29" ht="20" thickBot="1" x14ac:dyDescent="0.3">
      <c r="A50" s="8" t="s">
        <v>134</v>
      </c>
      <c r="B50" s="39">
        <f>SUM(B48:B49)</f>
        <v>3716.2</v>
      </c>
      <c r="C50" s="39">
        <f t="shared" ref="C50:Q50" si="17">SUM(C48:C49)</f>
        <v>3432.2000000000003</v>
      </c>
      <c r="D50" s="39">
        <f t="shared" si="17"/>
        <v>3138.2000000000003</v>
      </c>
      <c r="E50" s="39">
        <f t="shared" si="17"/>
        <v>3010.6</v>
      </c>
      <c r="F50" s="39">
        <f t="shared" si="17"/>
        <v>2802.7</v>
      </c>
      <c r="G50" s="39">
        <f t="shared" si="17"/>
        <v>2511.9</v>
      </c>
      <c r="H50" s="39">
        <f t="shared" si="17"/>
        <v>2323.0940000000001</v>
      </c>
      <c r="I50" s="39">
        <f t="shared" si="17"/>
        <v>2166.2889999999998</v>
      </c>
      <c r="J50" s="39">
        <f t="shared" si="17"/>
        <v>2005.2169999999999</v>
      </c>
      <c r="K50" s="39">
        <f t="shared" si="17"/>
        <v>1772.6970000000001</v>
      </c>
      <c r="L50" s="39">
        <f t="shared" si="17"/>
        <v>1560.3600000000001</v>
      </c>
      <c r="M50" s="39">
        <f t="shared" si="17"/>
        <v>1458.9760000000001</v>
      </c>
      <c r="N50" s="39">
        <f t="shared" si="17"/>
        <v>1282.5119999999999</v>
      </c>
      <c r="O50" s="39">
        <f t="shared" si="17"/>
        <v>1190.8430000000001</v>
      </c>
      <c r="P50" s="39">
        <f t="shared" si="17"/>
        <v>1142.259</v>
      </c>
      <c r="Q50" s="39">
        <f t="shared" si="17"/>
        <v>1010.1609999999999</v>
      </c>
    </row>
    <row r="51" spans="1:29" ht="20" thickTop="1" x14ac:dyDescent="0.25">
      <c r="B51" s="10"/>
      <c r="C51" s="10"/>
      <c r="D51" s="10"/>
      <c r="E51" s="10"/>
      <c r="F51" s="10"/>
      <c r="G51" s="10"/>
      <c r="H51" s="10"/>
      <c r="I51" s="10"/>
      <c r="J51" s="10"/>
      <c r="L51" s="10"/>
      <c r="M51" s="10"/>
      <c r="N51" s="10"/>
      <c r="O51" s="10"/>
      <c r="P51" s="10"/>
      <c r="Q51" s="10"/>
    </row>
    <row r="52" spans="1:29" x14ac:dyDescent="0.25">
      <c r="A52" s="8" t="s">
        <v>231</v>
      </c>
      <c r="B52" s="15">
        <f>('Operating Summary (Annual)'!B15)/0.75</f>
        <v>1121.7333333333336</v>
      </c>
      <c r="C52" s="15">
        <f>'Operating Summary (Annual)'!D15</f>
        <v>924.99999999999977</v>
      </c>
      <c r="D52" s="15">
        <f>'Operating Summary (Annual)'!E15</f>
        <v>859.1</v>
      </c>
      <c r="E52" s="15">
        <f>'Operating Summary (Annual)'!F15</f>
        <v>790.89999999999964</v>
      </c>
      <c r="F52" s="15">
        <f>'Operating Summary (Annual)'!G15</f>
        <v>751.90000000000043</v>
      </c>
      <c r="G52" s="15">
        <f>'Operating Summary (Annual)'!H15</f>
        <v>578.59999999999991</v>
      </c>
      <c r="H52" s="15">
        <f>'Operating Summary (Annual)'!I15</f>
        <v>499.39999999999992</v>
      </c>
      <c r="I52" s="15">
        <f>'Operating Summary (Annual)'!J15</f>
        <v>516.39999999999986</v>
      </c>
      <c r="J52" s="15">
        <f>'Operating Summary (Annual)'!K15</f>
        <v>494.15000000000009</v>
      </c>
      <c r="K52" s="15">
        <f>'Operating Summary (Annual)'!L15</f>
        <v>448.63600000000008</v>
      </c>
      <c r="L52" s="15">
        <f>'Operating Summary (Annual)'!M15</f>
        <v>420.53600000000017</v>
      </c>
      <c r="M52" s="15">
        <f>'Operating Summary (Annual)'!N15</f>
        <v>357.92900000000003</v>
      </c>
      <c r="N52" s="15">
        <f>'Operating Summary (Annual)'!O15</f>
        <v>265.35600000000005</v>
      </c>
      <c r="O52" s="15">
        <f>'Operating Summary (Annual)'!P15</f>
        <v>184.35699999999991</v>
      </c>
      <c r="P52" s="15">
        <f>'Operating Summary (Annual)'!Q15</f>
        <v>279.70500000000015</v>
      </c>
      <c r="Q52" s="15">
        <f>'Operating Summary (Annual)'!R15</f>
        <v>232.62200000000001</v>
      </c>
    </row>
    <row r="53" spans="1:29" x14ac:dyDescent="0.25">
      <c r="A53" s="3" t="s">
        <v>137</v>
      </c>
      <c r="B53" s="20">
        <f>B52/B48</f>
        <v>0.35484415200978542</v>
      </c>
      <c r="C53" s="20">
        <f t="shared" ref="C53:Q53" si="18">C52/C48</f>
        <v>0.30405627506409827</v>
      </c>
      <c r="D53" s="20">
        <f t="shared" si="18"/>
        <v>0.3143202107419874</v>
      </c>
      <c r="E53" s="20">
        <f t="shared" si="18"/>
        <v>0.29670618247298908</v>
      </c>
      <c r="F53" s="20">
        <f t="shared" si="18"/>
        <v>0.32652972597385699</v>
      </c>
      <c r="G53" s="20">
        <f t="shared" si="18"/>
        <v>0.2759311364395059</v>
      </c>
      <c r="H53" s="20">
        <f t="shared" si="18"/>
        <v>0.2583423258258522</v>
      </c>
      <c r="I53" s="20">
        <f t="shared" si="18"/>
        <v>0.28668359158358259</v>
      </c>
      <c r="J53" s="20">
        <f t="shared" si="18"/>
        <v>0.25801253852696593</v>
      </c>
      <c r="K53" s="20">
        <f t="shared" si="18"/>
        <v>0.2530810397941668</v>
      </c>
      <c r="L53" s="20">
        <f t="shared" si="18"/>
        <v>0.26951216385962223</v>
      </c>
      <c r="M53" s="20">
        <f t="shared" si="18"/>
        <v>0.24532891562301232</v>
      </c>
      <c r="N53" s="20">
        <f t="shared" si="18"/>
        <v>0.20690332722033014</v>
      </c>
      <c r="O53" s="20">
        <f t="shared" si="18"/>
        <v>0.15481217927132285</v>
      </c>
      <c r="P53" s="20">
        <f t="shared" si="18"/>
        <v>0.24487003385396847</v>
      </c>
      <c r="Q53" s="20">
        <f t="shared" si="18"/>
        <v>0.23028210354587045</v>
      </c>
    </row>
    <row r="54" spans="1:29" x14ac:dyDescent="0.25">
      <c r="A54" s="3" t="s">
        <v>138</v>
      </c>
      <c r="B54" s="20">
        <f>B52/B50</f>
        <v>0.30184955958595705</v>
      </c>
      <c r="C54" s="20">
        <f t="shared" ref="C54:Q54" si="19">C52/C50</f>
        <v>0.26950643901870514</v>
      </c>
      <c r="D54" s="20">
        <f t="shared" si="19"/>
        <v>0.27375565610859726</v>
      </c>
      <c r="E54" s="20">
        <f t="shared" si="19"/>
        <v>0.26270510861622259</v>
      </c>
      <c r="F54" s="20">
        <f t="shared" si="19"/>
        <v>0.26827701858921771</v>
      </c>
      <c r="G54" s="20">
        <f t="shared" si="19"/>
        <v>0.23034356463234998</v>
      </c>
      <c r="H54" s="20">
        <f t="shared" si="19"/>
        <v>0.21497192967654341</v>
      </c>
      <c r="I54" s="20">
        <f t="shared" si="19"/>
        <v>0.23838001300842127</v>
      </c>
      <c r="J54" s="20">
        <f t="shared" si="19"/>
        <v>0.2464321816541552</v>
      </c>
      <c r="K54" s="20">
        <f t="shared" si="19"/>
        <v>0.2530810397941668</v>
      </c>
      <c r="L54" s="20">
        <f t="shared" si="19"/>
        <v>0.26951216385962223</v>
      </c>
      <c r="M54" s="20">
        <f t="shared" si="19"/>
        <v>0.24532891562301232</v>
      </c>
      <c r="N54" s="20">
        <f t="shared" si="19"/>
        <v>0.20690332722033014</v>
      </c>
      <c r="O54" s="20">
        <f t="shared" si="19"/>
        <v>0.15481217927132285</v>
      </c>
      <c r="P54" s="20">
        <f t="shared" si="19"/>
        <v>0.24487003385396847</v>
      </c>
      <c r="Q54" s="20">
        <f t="shared" si="19"/>
        <v>0.23028210354587045</v>
      </c>
    </row>
    <row r="55" spans="1:29" x14ac:dyDescent="0.25">
      <c r="B55" s="10"/>
      <c r="C55" s="10"/>
      <c r="D55" s="10"/>
      <c r="E55" s="10"/>
      <c r="F55" s="10"/>
      <c r="G55" s="10"/>
      <c r="H55" s="10"/>
      <c r="I55" s="10"/>
      <c r="J55" s="10"/>
      <c r="L55" s="10"/>
      <c r="M55" s="10"/>
      <c r="N55" s="10"/>
      <c r="O55" s="10"/>
      <c r="P55" s="10"/>
      <c r="Q55" s="10"/>
    </row>
    <row r="56" spans="1:29" x14ac:dyDescent="0.25">
      <c r="A56" s="3" t="s">
        <v>139</v>
      </c>
      <c r="B56" s="14"/>
      <c r="C56" s="14">
        <f>'Operating Summary (Annual)'!D6/AVERAGE('Balance Sheet (Annual)'!C9:D9)</f>
        <v>2.2604592639194716</v>
      </c>
      <c r="D56" s="14">
        <f>'Operating Summary (Annual)'!E6/AVERAGE('Balance Sheet (Annual)'!D9:E9)</f>
        <v>2.2778209253300785</v>
      </c>
      <c r="E56" s="14">
        <f>'Operating Summary (Annual)'!F6/AVERAGE('Balance Sheet (Annual)'!E9:F9)</f>
        <v>2.1309591319798873</v>
      </c>
      <c r="F56" s="14">
        <f>'Operating Summary (Annual)'!G6/AVERAGE('Balance Sheet (Annual)'!F9:G9)</f>
        <v>2.1641086186540726</v>
      </c>
      <c r="G56" s="14">
        <f>'Operating Summary (Annual)'!H6/AVERAGE('Balance Sheet (Annual)'!G9:H9)</f>
        <v>2.1352047016883446</v>
      </c>
      <c r="H56" s="14">
        <f>'Operating Summary (Annual)'!I6/AVERAGE('Balance Sheet (Annual)'!H9:I9)</f>
        <v>2.0954207523454405</v>
      </c>
      <c r="I56" s="14">
        <f>'Operating Summary (Annual)'!J6/AVERAGE('Balance Sheet (Annual)'!I9:J9)</f>
        <v>2.1546300197420791</v>
      </c>
      <c r="J56" s="14">
        <f>'Operating Summary (Annual)'!K6/AVERAGE('Balance Sheet (Annual)'!J9:K9)</f>
        <v>2.221150286821687</v>
      </c>
      <c r="K56" s="14">
        <f>'Operating Summary (Annual)'!L6/AVERAGE('Balance Sheet (Annual)'!K9:L9)</f>
        <v>2.1429990043022413</v>
      </c>
      <c r="L56" s="14">
        <f>'Operating Summary (Annual)'!M6/AVERAGE('Balance Sheet (Annual)'!L9:M9)</f>
        <v>2.2313829611431215</v>
      </c>
      <c r="M56" s="14">
        <f>'Operating Summary (Annual)'!N6/AVERAGE('Balance Sheet (Annual)'!M9:N9)</f>
        <v>2.2146468570137117</v>
      </c>
      <c r="N56" s="14">
        <f>'Operating Summary (Annual)'!O6/AVERAGE('Balance Sheet (Annual)'!N9:O9)</f>
        <v>2.0541596998988529</v>
      </c>
      <c r="O56" s="14">
        <f>'Operating Summary (Annual)'!P6/AVERAGE('Balance Sheet (Annual)'!O9:P9)</f>
        <v>1.7655213433620596</v>
      </c>
      <c r="P56" s="14">
        <f>'Operating Summary (Annual)'!Q6/AVERAGE('Balance Sheet (Annual)'!P9:Q9)</f>
        <v>2.0664159896860053</v>
      </c>
      <c r="Q56" s="14">
        <f>'Operating Summary (Annual)'!R6/AVERAGE('Balance Sheet (Annual)'!Q9:R9)</f>
        <v>2.0100298855312806</v>
      </c>
    </row>
    <row r="57" spans="1:29" x14ac:dyDescent="0.25">
      <c r="B57" s="10"/>
      <c r="C57" s="10"/>
      <c r="D57" s="10"/>
      <c r="E57" s="10"/>
      <c r="F57" s="10"/>
      <c r="G57" s="10"/>
      <c r="H57" s="10"/>
      <c r="I57" s="10"/>
      <c r="J57" s="10"/>
      <c r="L57" s="10"/>
      <c r="M57" s="10"/>
      <c r="N57" s="10"/>
      <c r="O57" s="10"/>
      <c r="P57" s="10"/>
      <c r="Q57" s="10"/>
    </row>
    <row r="58" spans="1:29" x14ac:dyDescent="0.25">
      <c r="A58" s="8" t="s">
        <v>227</v>
      </c>
      <c r="B58" s="10"/>
      <c r="C58" s="10"/>
      <c r="D58" s="10"/>
      <c r="E58" s="10"/>
      <c r="F58" s="10"/>
      <c r="G58" s="10"/>
      <c r="H58" s="10"/>
      <c r="I58" s="10"/>
      <c r="J58" s="10"/>
      <c r="L58" s="10"/>
      <c r="M58" s="10"/>
      <c r="N58" s="10"/>
      <c r="O58" s="10"/>
      <c r="P58" s="10"/>
      <c r="Q58" s="10"/>
    </row>
    <row r="59" spans="1:29" x14ac:dyDescent="0.25">
      <c r="A59" s="3" t="s">
        <v>228</v>
      </c>
      <c r="B59" s="14">
        <f>B8</f>
        <v>1110.5999999999999</v>
      </c>
      <c r="C59" s="14">
        <f t="shared" ref="C59:Q59" si="20">C8</f>
        <v>900.2</v>
      </c>
      <c r="D59" s="14">
        <f t="shared" si="20"/>
        <v>769.4</v>
      </c>
      <c r="E59" s="14">
        <f t="shared" si="20"/>
        <v>741.8</v>
      </c>
      <c r="F59" s="14">
        <f t="shared" si="20"/>
        <v>714.3</v>
      </c>
      <c r="G59" s="14">
        <f t="shared" si="20"/>
        <v>607.79999999999995</v>
      </c>
      <c r="H59" s="14">
        <f t="shared" si="20"/>
        <v>499.71600000000001</v>
      </c>
      <c r="I59" s="14">
        <f t="shared" si="20"/>
        <v>468.375</v>
      </c>
      <c r="J59" s="14">
        <f t="shared" si="20"/>
        <v>462.077</v>
      </c>
      <c r="K59" s="14">
        <f t="shared" si="20"/>
        <v>414.33100000000002</v>
      </c>
      <c r="L59" s="14">
        <f t="shared" si="20"/>
        <v>372.15899999999999</v>
      </c>
      <c r="M59" s="14">
        <f t="shared" si="20"/>
        <v>338.59399999999999</v>
      </c>
      <c r="N59" s="14">
        <f t="shared" si="20"/>
        <v>270.13299999999998</v>
      </c>
      <c r="O59" s="14">
        <f t="shared" si="20"/>
        <v>214.16900000000001</v>
      </c>
      <c r="P59" s="14">
        <f t="shared" si="20"/>
        <v>244.94</v>
      </c>
      <c r="Q59" s="14">
        <f t="shared" si="20"/>
        <v>236.33099999999999</v>
      </c>
      <c r="R59" s="14"/>
      <c r="S59" s="14"/>
      <c r="T59" s="14"/>
      <c r="U59" s="14"/>
      <c r="V59" s="14"/>
      <c r="W59" s="14"/>
      <c r="X59" s="14"/>
      <c r="Y59" s="14"/>
      <c r="Z59" s="14"/>
      <c r="AA59" s="14"/>
      <c r="AB59" s="14"/>
      <c r="AC59" s="14"/>
    </row>
    <row r="60" spans="1:29" x14ac:dyDescent="0.25">
      <c r="A60" s="3" t="s">
        <v>9</v>
      </c>
      <c r="B60" s="14">
        <f>B9</f>
        <v>1678.1</v>
      </c>
      <c r="C60" s="14">
        <f t="shared" ref="C60:Q60" si="21">C9</f>
        <v>1523.6</v>
      </c>
      <c r="D60" s="14">
        <f t="shared" si="21"/>
        <v>1337.5</v>
      </c>
      <c r="E60" s="14">
        <f t="shared" si="21"/>
        <v>1366.4</v>
      </c>
      <c r="F60" s="14">
        <f t="shared" si="21"/>
        <v>1278.7</v>
      </c>
      <c r="G60" s="14">
        <f t="shared" si="21"/>
        <v>1092.9000000000001</v>
      </c>
      <c r="H60" s="14">
        <f t="shared" si="21"/>
        <v>992.98900000000003</v>
      </c>
      <c r="I60" s="14">
        <f t="shared" si="21"/>
        <v>913.26300000000003</v>
      </c>
      <c r="J60" s="14">
        <f t="shared" si="21"/>
        <v>869.22400000000005</v>
      </c>
      <c r="K60" s="14">
        <f t="shared" si="21"/>
        <v>784.06799999999998</v>
      </c>
      <c r="L60" s="14">
        <f t="shared" si="21"/>
        <v>715.38300000000004</v>
      </c>
      <c r="M60" s="14">
        <f t="shared" si="21"/>
        <v>646.15200000000004</v>
      </c>
      <c r="N60" s="14">
        <f t="shared" si="21"/>
        <v>557.36900000000003</v>
      </c>
      <c r="O60" s="14">
        <f t="shared" si="21"/>
        <v>508.40499999999997</v>
      </c>
      <c r="P60" s="14">
        <f t="shared" si="21"/>
        <v>564.24699999999996</v>
      </c>
      <c r="Q60" s="14">
        <f t="shared" si="21"/>
        <v>504.59199999999998</v>
      </c>
      <c r="R60" s="14"/>
      <c r="S60" s="14"/>
      <c r="T60" s="14"/>
      <c r="U60" s="14"/>
      <c r="V60" s="14"/>
      <c r="W60" s="14"/>
      <c r="X60" s="14"/>
      <c r="Y60" s="14"/>
      <c r="Z60" s="14"/>
      <c r="AA60" s="14"/>
      <c r="AB60" s="14"/>
      <c r="AC60" s="14"/>
    </row>
    <row r="61" spans="1:29" x14ac:dyDescent="0.25">
      <c r="A61" s="3" t="s">
        <v>229</v>
      </c>
      <c r="B61" s="14">
        <f>-B22</f>
        <v>-277.2</v>
      </c>
      <c r="C61" s="14">
        <f t="shared" ref="C61:Q61" si="22">-C22</f>
        <v>-233.1</v>
      </c>
      <c r="D61" s="14">
        <f t="shared" si="22"/>
        <v>-207</v>
      </c>
      <c r="E61" s="14">
        <f t="shared" si="22"/>
        <v>-192.8</v>
      </c>
      <c r="F61" s="14">
        <f t="shared" si="22"/>
        <v>-193.6</v>
      </c>
      <c r="G61" s="14">
        <f t="shared" si="22"/>
        <v>-147.5</v>
      </c>
      <c r="H61" s="14">
        <f t="shared" si="22"/>
        <v>-108.74</v>
      </c>
      <c r="I61" s="14">
        <f t="shared" si="22"/>
        <v>-125.973</v>
      </c>
      <c r="J61" s="14">
        <f t="shared" si="22"/>
        <v>-103.90900000000001</v>
      </c>
      <c r="K61" s="14">
        <f t="shared" si="22"/>
        <v>-91.253</v>
      </c>
      <c r="L61" s="14">
        <f t="shared" si="22"/>
        <v>-78.019000000000005</v>
      </c>
      <c r="M61" s="14">
        <f t="shared" si="22"/>
        <v>-73.778999999999996</v>
      </c>
      <c r="N61" s="14">
        <f t="shared" si="22"/>
        <v>-60.473999999999997</v>
      </c>
      <c r="O61" s="14">
        <f t="shared" si="22"/>
        <v>-53.49</v>
      </c>
      <c r="P61" s="14">
        <f t="shared" si="22"/>
        <v>-63.948999999999998</v>
      </c>
      <c r="Q61" s="14">
        <f t="shared" si="22"/>
        <v>-55.353000000000002</v>
      </c>
      <c r="R61" s="14"/>
      <c r="S61" s="14"/>
      <c r="T61" s="14"/>
      <c r="U61" s="14"/>
      <c r="V61" s="14"/>
      <c r="W61" s="14"/>
      <c r="X61" s="14"/>
      <c r="Y61" s="14"/>
      <c r="Z61" s="14"/>
      <c r="AA61" s="14"/>
      <c r="AB61" s="14"/>
      <c r="AC61" s="14"/>
    </row>
    <row r="62" spans="1:29" ht="20" thickBot="1" x14ac:dyDescent="0.3">
      <c r="A62" s="8" t="s">
        <v>227</v>
      </c>
      <c r="B62" s="39">
        <f>SUM(B59:B61)</f>
        <v>2511.5</v>
      </c>
      <c r="C62" s="39">
        <f t="shared" ref="C62:Q62" si="23">SUM(C59:C61)</f>
        <v>2190.7000000000003</v>
      </c>
      <c r="D62" s="39">
        <f t="shared" si="23"/>
        <v>1899.9</v>
      </c>
      <c r="E62" s="39">
        <f t="shared" si="23"/>
        <v>1915.3999999999999</v>
      </c>
      <c r="F62" s="39">
        <f t="shared" si="23"/>
        <v>1799.4</v>
      </c>
      <c r="G62" s="39">
        <f t="shared" si="23"/>
        <v>1553.2</v>
      </c>
      <c r="H62" s="39">
        <f t="shared" si="23"/>
        <v>1383.9649999999999</v>
      </c>
      <c r="I62" s="39">
        <f t="shared" si="23"/>
        <v>1255.665</v>
      </c>
      <c r="J62" s="39">
        <f t="shared" si="23"/>
        <v>1227.3919999999998</v>
      </c>
      <c r="K62" s="39">
        <f t="shared" si="23"/>
        <v>1107.146</v>
      </c>
      <c r="L62" s="39">
        <f t="shared" si="23"/>
        <v>1009.5229999999999</v>
      </c>
      <c r="M62" s="39">
        <f t="shared" si="23"/>
        <v>910.9670000000001</v>
      </c>
      <c r="N62" s="39">
        <f t="shared" si="23"/>
        <v>767.02799999999991</v>
      </c>
      <c r="O62" s="39">
        <f t="shared" si="23"/>
        <v>669.08399999999995</v>
      </c>
      <c r="P62" s="39">
        <f t="shared" si="23"/>
        <v>745.23799999999994</v>
      </c>
      <c r="Q62" s="39">
        <f t="shared" si="23"/>
        <v>685.57</v>
      </c>
    </row>
    <row r="63" spans="1:29" ht="20" thickTop="1" x14ac:dyDescent="0.25">
      <c r="B63" s="10"/>
      <c r="C63" s="10"/>
      <c r="D63" s="10"/>
      <c r="E63" s="10"/>
      <c r="F63" s="10"/>
      <c r="G63" s="10"/>
      <c r="H63" s="10"/>
      <c r="I63" s="10"/>
      <c r="J63" s="10"/>
      <c r="L63" s="10"/>
      <c r="M63" s="10"/>
      <c r="N63" s="10"/>
      <c r="O63" s="10"/>
      <c r="P63" s="10"/>
      <c r="Q63" s="10"/>
    </row>
    <row r="64" spans="1:29" x14ac:dyDescent="0.25">
      <c r="A64" s="23" t="s">
        <v>196</v>
      </c>
      <c r="B64" s="71">
        <f>(B62/C62)-1</f>
        <v>0.1464372118500934</v>
      </c>
      <c r="C64" s="71">
        <f t="shared" ref="C64:P64" si="24">(C62/D62)-1</f>
        <v>0.15306068740460033</v>
      </c>
      <c r="D64" s="71">
        <f t="shared" si="24"/>
        <v>-8.0923044794819488E-3</v>
      </c>
      <c r="E64" s="71">
        <f t="shared" si="24"/>
        <v>6.4465933088807326E-2</v>
      </c>
      <c r="F64" s="71">
        <f t="shared" si="24"/>
        <v>0.15851146021117701</v>
      </c>
      <c r="G64" s="71">
        <f t="shared" si="24"/>
        <v>0.12228271668719959</v>
      </c>
      <c r="H64" s="71">
        <f t="shared" si="24"/>
        <v>0.10217693413450246</v>
      </c>
      <c r="I64" s="71">
        <f t="shared" si="24"/>
        <v>2.3035020596516853E-2</v>
      </c>
      <c r="J64" s="71">
        <f t="shared" si="24"/>
        <v>0.10860898201321234</v>
      </c>
      <c r="K64" s="71">
        <f t="shared" si="24"/>
        <v>9.670210584602823E-2</v>
      </c>
      <c r="L64" s="71">
        <f t="shared" si="24"/>
        <v>0.10818833173978848</v>
      </c>
      <c r="M64" s="71">
        <f t="shared" si="24"/>
        <v>0.18765807767121956</v>
      </c>
      <c r="N64" s="71">
        <f t="shared" si="24"/>
        <v>0.14638520723855297</v>
      </c>
      <c r="O64" s="71">
        <f t="shared" si="24"/>
        <v>-0.10218748909744269</v>
      </c>
      <c r="P64" s="71">
        <f t="shared" si="24"/>
        <v>8.7034146768382392E-2</v>
      </c>
      <c r="Q64" s="10"/>
    </row>
    <row r="65" spans="1:17" x14ac:dyDescent="0.25">
      <c r="A65" s="3" t="s">
        <v>230</v>
      </c>
      <c r="B65" s="20">
        <f t="shared" ref="B65:Q65" si="25">B62/B18</f>
        <v>0.5427453861779834</v>
      </c>
      <c r="C65" s="20">
        <f t="shared" si="25"/>
        <v>0.50958362409862767</v>
      </c>
      <c r="D65" s="20">
        <f t="shared" si="25"/>
        <v>0.47920397508008172</v>
      </c>
      <c r="E65" s="20">
        <f t="shared" si="25"/>
        <v>0.50406589647095978</v>
      </c>
      <c r="F65" s="20">
        <f t="shared" si="25"/>
        <v>0.54174318831853085</v>
      </c>
      <c r="G65" s="20">
        <f t="shared" si="25"/>
        <v>0.53365401133825818</v>
      </c>
      <c r="H65" s="20">
        <f t="shared" si="25"/>
        <v>0.51855569593882678</v>
      </c>
      <c r="I65" s="20">
        <f t="shared" si="25"/>
        <v>0.49582777550067875</v>
      </c>
      <c r="J65" s="20">
        <f t="shared" si="25"/>
        <v>0.5202793266251311</v>
      </c>
      <c r="K65" s="20">
        <f t="shared" si="25"/>
        <v>0.53336281616969772</v>
      </c>
      <c r="L65" s="20">
        <f t="shared" si="25"/>
        <v>0.5559561677512016</v>
      </c>
      <c r="M65" s="20">
        <f t="shared" si="25"/>
        <v>0.54064991916664495</v>
      </c>
      <c r="N65" s="20">
        <f t="shared" si="25"/>
        <v>0.52239793009930635</v>
      </c>
      <c r="O65" s="20">
        <f t="shared" si="25"/>
        <v>0.5040719986620037</v>
      </c>
      <c r="P65" s="20">
        <f t="shared" si="25"/>
        <v>0.57143623926407172</v>
      </c>
      <c r="Q65" s="20">
        <f t="shared" si="25"/>
        <v>0.5894531757147734</v>
      </c>
    </row>
    <row r="66" spans="1:17" x14ac:dyDescent="0.25">
      <c r="B66" s="20"/>
      <c r="C66" s="20"/>
      <c r="D66" s="20"/>
      <c r="E66" s="20"/>
      <c r="F66" s="20"/>
      <c r="G66" s="20"/>
      <c r="H66" s="20"/>
      <c r="I66" s="20"/>
      <c r="J66" s="20"/>
      <c r="K66" s="20"/>
      <c r="L66" s="20"/>
      <c r="M66" s="20"/>
      <c r="N66" s="20"/>
      <c r="O66" s="20"/>
      <c r="P66" s="20"/>
      <c r="Q66" s="20"/>
    </row>
    <row r="67" spans="1:17" x14ac:dyDescent="0.25">
      <c r="A67" s="3" t="s">
        <v>225</v>
      </c>
      <c r="B67" s="20">
        <f>B49/B48</f>
        <v>0.17556624066810073</v>
      </c>
      <c r="C67" s="20">
        <f t="shared" ref="C67:Q67" si="26">C49/C48</f>
        <v>0.12819669975675496</v>
      </c>
      <c r="D67" s="20">
        <f t="shared" si="26"/>
        <v>0.14817795990048294</v>
      </c>
      <c r="E67" s="20">
        <f t="shared" si="26"/>
        <v>0.12942677070828332</v>
      </c>
      <c r="F67" s="20">
        <f t="shared" si="26"/>
        <v>0.21713640508967735</v>
      </c>
      <c r="G67" s="20">
        <f t="shared" si="26"/>
        <v>0.19791120225094186</v>
      </c>
      <c r="H67" s="20">
        <f t="shared" si="26"/>
        <v>0.20174911307986057</v>
      </c>
      <c r="I67" s="20">
        <f t="shared" si="26"/>
        <v>0.20263267027112253</v>
      </c>
      <c r="J67" s="20">
        <f t="shared" si="26"/>
        <v>4.6992064084644194E-2</v>
      </c>
      <c r="K67" s="20">
        <f t="shared" si="26"/>
        <v>0</v>
      </c>
      <c r="L67" s="20">
        <f t="shared" si="26"/>
        <v>0</v>
      </c>
      <c r="M67" s="20">
        <f t="shared" si="26"/>
        <v>0</v>
      </c>
      <c r="N67" s="20">
        <f t="shared" si="26"/>
        <v>0</v>
      </c>
      <c r="O67" s="20">
        <f t="shared" si="26"/>
        <v>0</v>
      </c>
      <c r="P67" s="20">
        <f t="shared" si="26"/>
        <v>0</v>
      </c>
      <c r="Q67" s="20">
        <f t="shared" si="26"/>
        <v>0</v>
      </c>
    </row>
    <row r="68" spans="1:17" x14ac:dyDescent="0.25">
      <c r="A68" s="3" t="s">
        <v>226</v>
      </c>
      <c r="B68" s="20">
        <f>B49/B50</f>
        <v>0.14934610623755451</v>
      </c>
      <c r="C68" s="20">
        <f t="shared" ref="C68:Q68" si="27">C49/C50</f>
        <v>0.11362974185653515</v>
      </c>
      <c r="D68" s="20">
        <f t="shared" si="27"/>
        <v>0.12905487221974379</v>
      </c>
      <c r="E68" s="20">
        <f t="shared" si="27"/>
        <v>0.1145950973227928</v>
      </c>
      <c r="F68" s="20">
        <f t="shared" si="27"/>
        <v>0.17839940057801407</v>
      </c>
      <c r="G68" s="20">
        <f t="shared" si="27"/>
        <v>0.16521358334328595</v>
      </c>
      <c r="H68" s="20">
        <f t="shared" si="27"/>
        <v>0.16787956062044843</v>
      </c>
      <c r="I68" s="20">
        <f t="shared" si="27"/>
        <v>0.16849090772283848</v>
      </c>
      <c r="J68" s="20">
        <f t="shared" si="27"/>
        <v>4.4882922895626759E-2</v>
      </c>
      <c r="K68" s="20">
        <f t="shared" si="27"/>
        <v>0</v>
      </c>
      <c r="L68" s="20">
        <f t="shared" si="27"/>
        <v>0</v>
      </c>
      <c r="M68" s="20">
        <f t="shared" si="27"/>
        <v>0</v>
      </c>
      <c r="N68" s="20">
        <f t="shared" si="27"/>
        <v>0</v>
      </c>
      <c r="O68" s="20">
        <f t="shared" si="27"/>
        <v>0</v>
      </c>
      <c r="P68" s="20">
        <f t="shared" si="27"/>
        <v>0</v>
      </c>
      <c r="Q68" s="20">
        <f t="shared" si="27"/>
        <v>0</v>
      </c>
    </row>
    <row r="69" spans="1:17" x14ac:dyDescent="0.25">
      <c r="H69" s="10"/>
      <c r="I69" s="10"/>
      <c r="J69" s="10"/>
      <c r="L69" s="10"/>
      <c r="M69" s="10"/>
      <c r="N69" s="10"/>
      <c r="O69" s="10"/>
      <c r="P69" s="10"/>
      <c r="Q69" s="10"/>
    </row>
    <row r="70" spans="1:17" x14ac:dyDescent="0.25">
      <c r="H70" s="10"/>
      <c r="I70" s="10"/>
      <c r="J70" s="10"/>
      <c r="L70" s="10"/>
      <c r="M70" s="10"/>
      <c r="N70" s="10"/>
      <c r="O70" s="10"/>
      <c r="P70" s="10"/>
      <c r="Q70" s="10"/>
    </row>
    <row r="71" spans="1:17" x14ac:dyDescent="0.25">
      <c r="H71" s="10"/>
      <c r="I71" s="10"/>
      <c r="J71" s="10"/>
      <c r="L71" s="10"/>
      <c r="M71" s="10"/>
      <c r="N71" s="10"/>
      <c r="O71" s="10"/>
      <c r="P71" s="10"/>
      <c r="Q71" s="10"/>
    </row>
    <row r="72" spans="1:17" x14ac:dyDescent="0.25">
      <c r="B72" s="13"/>
      <c r="C72" s="13"/>
      <c r="D72" s="13"/>
      <c r="E72" s="13"/>
      <c r="F72" s="13"/>
      <c r="G72" s="13"/>
      <c r="H72" s="13"/>
      <c r="I72" s="13"/>
      <c r="J72" s="13"/>
      <c r="K72" s="13"/>
      <c r="L72" s="13"/>
      <c r="M72" s="13"/>
      <c r="N72" s="13"/>
      <c r="O72" s="13"/>
      <c r="P72" s="13"/>
      <c r="Q72" s="13"/>
    </row>
    <row r="73" spans="1:17" x14ac:dyDescent="0.25">
      <c r="H73" s="10"/>
      <c r="I73" s="10"/>
      <c r="J73" s="10"/>
      <c r="L73" s="10"/>
      <c r="M73" s="10"/>
      <c r="N73" s="10"/>
      <c r="O73" s="10"/>
      <c r="P73" s="10"/>
      <c r="Q73" s="10"/>
    </row>
    <row r="74" spans="1:17" x14ac:dyDescent="0.25">
      <c r="H74" s="10"/>
      <c r="I74" s="10"/>
      <c r="J74" s="10"/>
      <c r="L74" s="10"/>
      <c r="M74" s="10"/>
      <c r="N74" s="10"/>
      <c r="O74" s="10"/>
      <c r="P74" s="10"/>
      <c r="Q74" s="10"/>
    </row>
    <row r="75" spans="1:17" x14ac:dyDescent="0.25">
      <c r="H75" s="10"/>
      <c r="I75" s="10"/>
      <c r="J75" s="10"/>
      <c r="L75" s="10"/>
      <c r="M75" s="10"/>
      <c r="N75" s="10"/>
      <c r="O75" s="10"/>
      <c r="P75" s="10"/>
      <c r="Q75" s="10"/>
    </row>
    <row r="76" spans="1:17" x14ac:dyDescent="0.25">
      <c r="H76" s="10"/>
      <c r="I76" s="10"/>
      <c r="J76" s="10"/>
      <c r="L76" s="10"/>
      <c r="M76" s="10"/>
      <c r="N76" s="10"/>
      <c r="O76" s="10"/>
      <c r="P76" s="10"/>
      <c r="Q76" s="10"/>
    </row>
    <row r="77" spans="1:17" x14ac:dyDescent="0.25">
      <c r="H77" s="10"/>
      <c r="I77" s="10"/>
      <c r="J77" s="10"/>
      <c r="L77" s="10"/>
      <c r="M77" s="10"/>
      <c r="N77" s="10"/>
      <c r="O77" s="10"/>
      <c r="P77" s="10"/>
      <c r="Q77" s="10"/>
    </row>
    <row r="78" spans="1:17" x14ac:dyDescent="0.25">
      <c r="H78" s="10"/>
      <c r="I78" s="10"/>
      <c r="J78" s="10"/>
      <c r="L78" s="10"/>
      <c r="M78" s="10"/>
      <c r="N78" s="10"/>
      <c r="O78" s="10"/>
      <c r="P78" s="10"/>
      <c r="Q78" s="10"/>
    </row>
    <row r="79" spans="1:17" x14ac:dyDescent="0.25">
      <c r="H79" s="10"/>
      <c r="I79" s="10"/>
      <c r="J79" s="10"/>
      <c r="L79" s="10"/>
      <c r="M79" s="10"/>
      <c r="N79" s="10"/>
      <c r="O79" s="10"/>
      <c r="P79" s="10"/>
      <c r="Q79" s="10"/>
    </row>
    <row r="80" spans="1:17" x14ac:dyDescent="0.25">
      <c r="H80" s="10"/>
      <c r="I80" s="10"/>
      <c r="J80" s="10"/>
      <c r="L80" s="10"/>
      <c r="M80" s="10"/>
      <c r="N80" s="10"/>
      <c r="O80" s="10"/>
      <c r="P80" s="10"/>
      <c r="Q80" s="10"/>
    </row>
    <row r="81" spans="8:17" x14ac:dyDescent="0.25">
      <c r="H81" s="10"/>
      <c r="I81" s="10"/>
      <c r="J81" s="10"/>
      <c r="L81" s="10"/>
      <c r="M81" s="10"/>
      <c r="N81" s="10"/>
      <c r="O81" s="10"/>
      <c r="P81" s="10"/>
      <c r="Q81" s="10"/>
    </row>
  </sheetData>
  <mergeCells count="1">
    <mergeCell ref="I2:Q2"/>
  </mergeCells>
  <pageMargins left="0.7" right="0.7" top="0.75" bottom="0.75" header="0.3" footer="0.3"/>
  <pageSetup orientation="portrait" r:id="rId1"/>
  <ignoredErrors>
    <ignoredError sqref="C56:Q5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T45"/>
  <sheetViews>
    <sheetView workbookViewId="0">
      <pane ySplit="4" topLeftCell="A5" activePane="bottomLeft" state="frozen"/>
      <selection pane="bottomLeft" sqref="A1:B1"/>
    </sheetView>
  </sheetViews>
  <sheetFormatPr baseColWidth="10" defaultColWidth="9.1640625" defaultRowHeight="19" x14ac:dyDescent="0.25"/>
  <cols>
    <col min="1" max="1" width="47" style="3" bestFit="1" customWidth="1"/>
    <col min="2" max="3" width="10.33203125" style="3" customWidth="1"/>
    <col min="4" max="11" width="9.83203125" style="3" customWidth="1"/>
    <col min="12" max="12" width="9.83203125" style="9" customWidth="1"/>
    <col min="13" max="20" width="9.83203125" style="3" customWidth="1"/>
    <col min="21" max="16384" width="9.1640625" style="3"/>
  </cols>
  <sheetData>
    <row r="1" spans="1:20" ht="24" x14ac:dyDescent="0.3">
      <c r="A1" s="100" t="s">
        <v>201</v>
      </c>
      <c r="B1" s="100"/>
      <c r="C1" s="33"/>
      <c r="D1" s="33"/>
      <c r="E1" s="33"/>
      <c r="F1" s="33"/>
      <c r="G1" s="33"/>
      <c r="H1" s="33"/>
      <c r="I1" s="8"/>
      <c r="J1" s="8"/>
      <c r="K1" s="8"/>
    </row>
    <row r="2" spans="1:20" x14ac:dyDescent="0.25">
      <c r="A2" s="4" t="s">
        <v>197</v>
      </c>
      <c r="B2" s="4"/>
      <c r="C2" s="4"/>
      <c r="D2" s="4"/>
      <c r="E2" s="4"/>
      <c r="F2" s="4"/>
      <c r="G2" s="4"/>
      <c r="H2" s="4"/>
      <c r="I2" s="4"/>
      <c r="J2" s="17"/>
      <c r="K2" s="17"/>
    </row>
    <row r="3" spans="1:20" x14ac:dyDescent="0.25">
      <c r="A3" s="41"/>
      <c r="B3" s="98" t="s">
        <v>123</v>
      </c>
      <c r="C3" s="99"/>
      <c r="D3" s="96" t="s">
        <v>122</v>
      </c>
      <c r="E3" s="97"/>
      <c r="F3" s="97"/>
      <c r="G3" s="97"/>
      <c r="H3" s="97"/>
      <c r="I3" s="97"/>
      <c r="J3" s="97"/>
      <c r="K3" s="97"/>
      <c r="L3" s="97"/>
      <c r="M3" s="97"/>
      <c r="N3" s="97"/>
      <c r="O3" s="97"/>
      <c r="P3" s="97"/>
      <c r="Q3" s="97"/>
      <c r="R3" s="97"/>
      <c r="S3" s="97"/>
      <c r="T3" s="97"/>
    </row>
    <row r="4" spans="1:20" s="8" customFormat="1" x14ac:dyDescent="0.25">
      <c r="A4" s="42" t="s">
        <v>7</v>
      </c>
      <c r="B4" s="44">
        <v>44834</v>
      </c>
      <c r="C4" s="45">
        <v>44469</v>
      </c>
      <c r="D4" s="18">
        <v>2021</v>
      </c>
      <c r="E4" s="18">
        <v>2020</v>
      </c>
      <c r="F4" s="18">
        <v>2019</v>
      </c>
      <c r="G4" s="18">
        <v>2018</v>
      </c>
      <c r="H4" s="18">
        <v>2017</v>
      </c>
      <c r="I4" s="18">
        <v>2016</v>
      </c>
      <c r="J4" s="18">
        <v>2015</v>
      </c>
      <c r="K4" s="18">
        <v>2014</v>
      </c>
      <c r="L4" s="18">
        <v>2013</v>
      </c>
      <c r="M4" s="18">
        <v>2012</v>
      </c>
      <c r="N4" s="18">
        <v>2011</v>
      </c>
      <c r="O4" s="19">
        <v>2010</v>
      </c>
      <c r="P4" s="18">
        <v>2009</v>
      </c>
      <c r="Q4" s="18">
        <v>2008</v>
      </c>
      <c r="R4" s="18">
        <v>2007</v>
      </c>
      <c r="S4" s="18">
        <v>2006</v>
      </c>
      <c r="T4" s="18">
        <v>2005</v>
      </c>
    </row>
    <row r="5" spans="1:20" x14ac:dyDescent="0.25">
      <c r="A5" s="8" t="s">
        <v>16</v>
      </c>
      <c r="B5" s="46">
        <v>5285</v>
      </c>
      <c r="C5" s="47">
        <v>4479</v>
      </c>
      <c r="D5" s="15">
        <v>6010.9</v>
      </c>
      <c r="E5" s="15">
        <v>5647.3</v>
      </c>
      <c r="F5" s="15">
        <v>5333.7</v>
      </c>
      <c r="G5" s="15">
        <v>4965.1000000000004</v>
      </c>
      <c r="H5" s="15">
        <v>4390.5</v>
      </c>
      <c r="I5" s="15">
        <v>3962</v>
      </c>
      <c r="J5" s="15">
        <v>3869.2</v>
      </c>
      <c r="K5" s="15">
        <v>3733.5070000000001</v>
      </c>
      <c r="L5" s="43">
        <v>3326.1060000000002</v>
      </c>
      <c r="M5" s="43">
        <v>3133.5770000000002</v>
      </c>
      <c r="N5" s="43">
        <v>2766.8589999999999</v>
      </c>
      <c r="O5" s="43">
        <v>2269.471</v>
      </c>
      <c r="P5" s="43">
        <v>1930.33</v>
      </c>
      <c r="Q5" s="15">
        <v>2340.4250000000002</v>
      </c>
      <c r="R5" s="15">
        <v>2061.819</v>
      </c>
      <c r="S5" s="15">
        <v>1809.337</v>
      </c>
      <c r="T5" s="15">
        <v>1523.3330000000001</v>
      </c>
    </row>
    <row r="6" spans="1:20" x14ac:dyDescent="0.25">
      <c r="A6" s="3" t="s">
        <v>17</v>
      </c>
      <c r="B6" s="38">
        <v>2837.6</v>
      </c>
      <c r="C6" s="48">
        <v>2414.6999999999998</v>
      </c>
      <c r="D6" s="14">
        <v>3233.7</v>
      </c>
      <c r="E6" s="14">
        <v>3079.5</v>
      </c>
      <c r="F6" s="14">
        <v>2818.3</v>
      </c>
      <c r="G6" s="14">
        <v>2566.1999999999998</v>
      </c>
      <c r="H6" s="14">
        <v>2226.9</v>
      </c>
      <c r="I6" s="14">
        <v>1997.2</v>
      </c>
      <c r="J6" s="14">
        <v>1920.3</v>
      </c>
      <c r="K6" s="14">
        <v>1836.105</v>
      </c>
      <c r="L6" s="36">
        <v>1606.6610000000001</v>
      </c>
      <c r="M6" s="36">
        <v>1519.0530000000001</v>
      </c>
      <c r="N6" s="36">
        <v>1332.6869999999999</v>
      </c>
      <c r="O6" s="36">
        <v>1094.635</v>
      </c>
      <c r="P6" s="36">
        <v>946.89499999999998</v>
      </c>
      <c r="Q6" s="14">
        <v>1104.3330000000001</v>
      </c>
      <c r="R6" s="14">
        <v>1014.245</v>
      </c>
      <c r="S6" s="14">
        <v>901.66200000000003</v>
      </c>
      <c r="T6" s="14">
        <v>765.23</v>
      </c>
    </row>
    <row r="7" spans="1:20" x14ac:dyDescent="0.25">
      <c r="A7" s="3" t="s">
        <v>18</v>
      </c>
      <c r="B7" s="37">
        <f t="shared" ref="B7:I7" si="0">B5-B6</f>
        <v>2447.4</v>
      </c>
      <c r="C7" s="49">
        <f t="shared" si="0"/>
        <v>2064.3000000000002</v>
      </c>
      <c r="D7" s="37">
        <f t="shared" si="0"/>
        <v>2777.2</v>
      </c>
      <c r="E7" s="37">
        <f t="shared" si="0"/>
        <v>2567.8000000000002</v>
      </c>
      <c r="F7" s="37">
        <f t="shared" si="0"/>
        <v>2515.3999999999996</v>
      </c>
      <c r="G7" s="37">
        <f t="shared" si="0"/>
        <v>2398.9000000000005</v>
      </c>
      <c r="H7" s="37">
        <f t="shared" si="0"/>
        <v>2163.6</v>
      </c>
      <c r="I7" s="37">
        <f t="shared" si="0"/>
        <v>1964.8</v>
      </c>
      <c r="J7" s="37">
        <f t="shared" ref="J7:R7" si="1">J5-J6</f>
        <v>1948.8999999999999</v>
      </c>
      <c r="K7" s="37">
        <f t="shared" si="1"/>
        <v>1897.402</v>
      </c>
      <c r="L7" s="37">
        <f t="shared" si="1"/>
        <v>1719.4450000000002</v>
      </c>
      <c r="M7" s="37">
        <f t="shared" si="1"/>
        <v>1614.5240000000001</v>
      </c>
      <c r="N7" s="37">
        <f t="shared" si="1"/>
        <v>1434.172</v>
      </c>
      <c r="O7" s="37">
        <f t="shared" si="1"/>
        <v>1174.836</v>
      </c>
      <c r="P7" s="37">
        <f t="shared" si="1"/>
        <v>983.43499999999995</v>
      </c>
      <c r="Q7" s="37">
        <f t="shared" si="1"/>
        <v>1236.0920000000001</v>
      </c>
      <c r="R7" s="37">
        <f t="shared" si="1"/>
        <v>1047.5740000000001</v>
      </c>
      <c r="S7" s="37">
        <f t="shared" ref="S7" si="2">S5-S6</f>
        <v>907.67499999999995</v>
      </c>
      <c r="T7" s="37">
        <f t="shared" ref="T7" si="3">T5-T6</f>
        <v>758.10300000000007</v>
      </c>
    </row>
    <row r="8" spans="1:20" x14ac:dyDescent="0.25">
      <c r="A8" s="3" t="s">
        <v>51</v>
      </c>
      <c r="B8" s="38">
        <v>1326.7</v>
      </c>
      <c r="C8" s="48">
        <v>1147.8</v>
      </c>
      <c r="D8" s="14">
        <v>1559.8</v>
      </c>
      <c r="E8" s="14">
        <v>1427.4</v>
      </c>
      <c r="F8" s="14">
        <v>1459.4</v>
      </c>
      <c r="G8" s="14">
        <v>1400.2</v>
      </c>
      <c r="H8" s="14">
        <v>1282.8</v>
      </c>
      <c r="I8" s="14">
        <v>1169.5</v>
      </c>
      <c r="J8" s="14">
        <v>1121.5</v>
      </c>
      <c r="K8" s="14">
        <v>1110.7760000000001</v>
      </c>
      <c r="L8" s="36">
        <v>1007.431</v>
      </c>
      <c r="M8" s="36">
        <v>941.23599999999999</v>
      </c>
      <c r="N8" s="36">
        <v>859.36900000000003</v>
      </c>
      <c r="O8" s="36">
        <v>745.11199999999997</v>
      </c>
      <c r="P8" s="36">
        <v>686.79200000000003</v>
      </c>
      <c r="Q8" s="14">
        <v>785.68799999999999</v>
      </c>
      <c r="R8" s="14">
        <v>671.24800000000005</v>
      </c>
      <c r="S8" s="14">
        <v>587.61</v>
      </c>
      <c r="T8" s="14">
        <v>489.79199999999997</v>
      </c>
    </row>
    <row r="9" spans="1:20" x14ac:dyDescent="0.25">
      <c r="A9" s="3" t="s">
        <v>57</v>
      </c>
      <c r="B9" s="38">
        <v>0</v>
      </c>
      <c r="C9" s="48">
        <v>0</v>
      </c>
      <c r="D9" s="14">
        <v>0</v>
      </c>
      <c r="E9" s="14">
        <v>-1.4</v>
      </c>
      <c r="F9" s="14">
        <v>-1.2</v>
      </c>
      <c r="G9" s="14">
        <v>-0.5</v>
      </c>
      <c r="H9" s="14">
        <v>-1</v>
      </c>
      <c r="I9" s="14">
        <v>-0.5</v>
      </c>
      <c r="J9" s="14">
        <v>-1.4</v>
      </c>
      <c r="K9" s="14">
        <v>-0.96399999999999997</v>
      </c>
      <c r="L9" s="36">
        <v>-0.64300000000000002</v>
      </c>
      <c r="M9" s="36">
        <v>-0.40300000000000002</v>
      </c>
      <c r="N9" s="36">
        <v>0.19400000000000001</v>
      </c>
      <c r="O9" s="36">
        <v>3.5000000000000003E-2</v>
      </c>
      <c r="P9" s="36">
        <v>0.85</v>
      </c>
      <c r="Q9" s="14">
        <v>0.16700000000000001</v>
      </c>
      <c r="R9" s="14">
        <v>-9.9000000000000005E-2</v>
      </c>
      <c r="S9" s="14">
        <v>0.223</v>
      </c>
      <c r="T9" s="14">
        <v>0.44700000000000001</v>
      </c>
    </row>
    <row r="10" spans="1:20" x14ac:dyDescent="0.25">
      <c r="A10" s="3" t="s">
        <v>19</v>
      </c>
      <c r="B10" s="37">
        <f t="shared" ref="B10:I10" si="4">B7-B8-B9</f>
        <v>1120.7</v>
      </c>
      <c r="C10" s="49">
        <f t="shared" si="4"/>
        <v>916.50000000000023</v>
      </c>
      <c r="D10" s="37">
        <f t="shared" si="4"/>
        <v>1217.3999999999999</v>
      </c>
      <c r="E10" s="37">
        <f t="shared" si="4"/>
        <v>1141.8000000000002</v>
      </c>
      <c r="F10" s="37">
        <f t="shared" si="4"/>
        <v>1057.1999999999996</v>
      </c>
      <c r="G10" s="37">
        <f t="shared" si="4"/>
        <v>999.2000000000005</v>
      </c>
      <c r="H10" s="37">
        <f t="shared" si="4"/>
        <v>881.8</v>
      </c>
      <c r="I10" s="37">
        <f t="shared" si="4"/>
        <v>795.8</v>
      </c>
      <c r="J10" s="37">
        <f t="shared" ref="J10:R10" si="5">J7-J8-J9</f>
        <v>828.79999999999984</v>
      </c>
      <c r="K10" s="37">
        <f t="shared" si="5"/>
        <v>787.59</v>
      </c>
      <c r="L10" s="37">
        <f t="shared" si="5"/>
        <v>712.65700000000015</v>
      </c>
      <c r="M10" s="37">
        <f t="shared" si="5"/>
        <v>673.69100000000014</v>
      </c>
      <c r="N10" s="37">
        <f t="shared" si="5"/>
        <v>574.60900000000004</v>
      </c>
      <c r="O10" s="37">
        <f t="shared" si="5"/>
        <v>429.68900000000002</v>
      </c>
      <c r="P10" s="37">
        <f t="shared" si="5"/>
        <v>295.79299999999989</v>
      </c>
      <c r="Q10" s="37">
        <f t="shared" si="5"/>
        <v>450.23700000000014</v>
      </c>
      <c r="R10" s="37">
        <f t="shared" si="5"/>
        <v>376.42500000000001</v>
      </c>
      <c r="S10" s="37">
        <f t="shared" ref="S10" si="6">S7-S8-S9</f>
        <v>319.84199999999993</v>
      </c>
      <c r="T10" s="37">
        <f t="shared" ref="T10" si="7">T7-T8-T9</f>
        <v>267.86400000000009</v>
      </c>
    </row>
    <row r="11" spans="1:20" x14ac:dyDescent="0.25">
      <c r="A11" s="3" t="s">
        <v>52</v>
      </c>
      <c r="B11" s="38">
        <v>0.4</v>
      </c>
      <c r="C11" s="48">
        <v>0.1</v>
      </c>
      <c r="D11" s="14">
        <v>0.1</v>
      </c>
      <c r="E11" s="14">
        <v>0.6</v>
      </c>
      <c r="F11" s="14">
        <v>0.4</v>
      </c>
      <c r="G11" s="14">
        <v>0.4</v>
      </c>
      <c r="H11" s="14">
        <v>0.4</v>
      </c>
      <c r="I11" s="14">
        <v>0.4</v>
      </c>
      <c r="J11" s="14">
        <v>0.4</v>
      </c>
      <c r="K11" s="14">
        <v>0.75900000000000001</v>
      </c>
      <c r="L11" s="36">
        <v>0.92400000000000004</v>
      </c>
      <c r="M11" s="36">
        <v>0.46400000000000002</v>
      </c>
      <c r="N11" s="36">
        <v>0.47199999999999998</v>
      </c>
      <c r="O11" s="36">
        <v>0.95099999999999996</v>
      </c>
      <c r="P11" s="36">
        <v>1.6970000000000001</v>
      </c>
      <c r="Q11" s="14">
        <v>0.93</v>
      </c>
      <c r="R11" s="14">
        <v>1.474</v>
      </c>
      <c r="S11" s="14">
        <v>1.1870000000000001</v>
      </c>
      <c r="T11" s="14">
        <v>1.1919999999999999</v>
      </c>
    </row>
    <row r="12" spans="1:20" x14ac:dyDescent="0.25">
      <c r="A12" s="3" t="s">
        <v>6</v>
      </c>
      <c r="B12" s="38">
        <v>-9.3000000000000007</v>
      </c>
      <c r="C12" s="48">
        <v>-7.3</v>
      </c>
      <c r="D12" s="14">
        <v>-9.6999999999999993</v>
      </c>
      <c r="E12" s="14">
        <v>-9.6999999999999993</v>
      </c>
      <c r="F12" s="14">
        <v>-13.9</v>
      </c>
      <c r="G12" s="14">
        <v>-12.6</v>
      </c>
      <c r="H12" s="14">
        <v>-9.1</v>
      </c>
      <c r="I12" s="14">
        <v>-6.5</v>
      </c>
      <c r="J12" s="14">
        <v>-3.1</v>
      </c>
      <c r="K12" s="14">
        <v>-0.91500000000000004</v>
      </c>
      <c r="L12" s="36">
        <v>-0.113</v>
      </c>
      <c r="M12" s="36">
        <v>0</v>
      </c>
      <c r="N12" s="36">
        <v>0</v>
      </c>
      <c r="O12" s="36">
        <v>0</v>
      </c>
      <c r="P12" s="36">
        <v>0</v>
      </c>
      <c r="Q12" s="14">
        <v>0</v>
      </c>
      <c r="R12" s="14">
        <v>0</v>
      </c>
      <c r="S12" s="14">
        <v>0</v>
      </c>
      <c r="T12" s="14">
        <v>0</v>
      </c>
    </row>
    <row r="13" spans="1:20" x14ac:dyDescent="0.25">
      <c r="A13" s="3" t="s">
        <v>53</v>
      </c>
      <c r="B13" s="37">
        <f t="shared" ref="B13:I13" si="8">SUM(B10:B12)</f>
        <v>1111.8000000000002</v>
      </c>
      <c r="C13" s="49">
        <f t="shared" si="8"/>
        <v>909.3000000000003</v>
      </c>
      <c r="D13" s="37">
        <f t="shared" si="8"/>
        <v>1207.7999999999997</v>
      </c>
      <c r="E13" s="37">
        <f t="shared" si="8"/>
        <v>1132.7</v>
      </c>
      <c r="F13" s="37">
        <f t="shared" si="8"/>
        <v>1043.6999999999996</v>
      </c>
      <c r="G13" s="37">
        <f t="shared" si="8"/>
        <v>987.00000000000045</v>
      </c>
      <c r="H13" s="37">
        <f t="shared" si="8"/>
        <v>873.09999999999991</v>
      </c>
      <c r="I13" s="37">
        <f t="shared" si="8"/>
        <v>789.69999999999993</v>
      </c>
      <c r="J13" s="37">
        <f t="shared" ref="J13:R13" si="9">SUM(J10:J12)</f>
        <v>826.0999999999998</v>
      </c>
      <c r="K13" s="37">
        <f t="shared" si="9"/>
        <v>787.43400000000008</v>
      </c>
      <c r="L13" s="37">
        <f t="shared" si="9"/>
        <v>713.46800000000007</v>
      </c>
      <c r="M13" s="37">
        <f t="shared" si="9"/>
        <v>674.1550000000002</v>
      </c>
      <c r="N13" s="37">
        <f t="shared" si="9"/>
        <v>575.08100000000002</v>
      </c>
      <c r="O13" s="37">
        <f t="shared" si="9"/>
        <v>430.64000000000004</v>
      </c>
      <c r="P13" s="37">
        <f t="shared" si="9"/>
        <v>297.4899999999999</v>
      </c>
      <c r="Q13" s="37">
        <f t="shared" si="9"/>
        <v>451.16700000000014</v>
      </c>
      <c r="R13" s="37">
        <f t="shared" si="9"/>
        <v>377.899</v>
      </c>
      <c r="S13" s="37">
        <f t="shared" ref="S13" si="10">SUM(S10:S12)</f>
        <v>321.02899999999994</v>
      </c>
      <c r="T13" s="37">
        <f t="shared" ref="T13" si="11">SUM(T10:T12)</f>
        <v>269.0560000000001</v>
      </c>
    </row>
    <row r="14" spans="1:20" x14ac:dyDescent="0.25">
      <c r="A14" s="3" t="s">
        <v>54</v>
      </c>
      <c r="B14" s="38">
        <v>270.5</v>
      </c>
      <c r="C14" s="48">
        <v>215.5</v>
      </c>
      <c r="D14" s="14">
        <v>282.8</v>
      </c>
      <c r="E14" s="14">
        <v>273.60000000000002</v>
      </c>
      <c r="F14" s="14">
        <v>252.8</v>
      </c>
      <c r="G14" s="14">
        <v>235.1</v>
      </c>
      <c r="H14" s="14">
        <v>294.5</v>
      </c>
      <c r="I14" s="14">
        <v>290.3</v>
      </c>
      <c r="J14" s="14">
        <v>309.7</v>
      </c>
      <c r="K14" s="14">
        <v>293.28399999999999</v>
      </c>
      <c r="L14" s="36">
        <v>264.83199999999999</v>
      </c>
      <c r="M14" s="36">
        <v>253.619</v>
      </c>
      <c r="N14" s="36">
        <v>217.15199999999999</v>
      </c>
      <c r="O14" s="36">
        <v>165.28399999999999</v>
      </c>
      <c r="P14" s="36">
        <v>113.133</v>
      </c>
      <c r="Q14" s="14">
        <v>171.46199999999999</v>
      </c>
      <c r="R14" s="14">
        <v>145.27699999999999</v>
      </c>
      <c r="S14" s="14">
        <v>121.991</v>
      </c>
      <c r="T14" s="14">
        <v>102.242</v>
      </c>
    </row>
    <row r="15" spans="1:20" ht="20" thickBot="1" x14ac:dyDescent="0.3">
      <c r="A15" s="8" t="s">
        <v>55</v>
      </c>
      <c r="B15" s="39">
        <f t="shared" ref="B15:I15" si="12">B13-B14</f>
        <v>841.30000000000018</v>
      </c>
      <c r="C15" s="50">
        <f t="shared" si="12"/>
        <v>693.8000000000003</v>
      </c>
      <c r="D15" s="39">
        <f t="shared" si="12"/>
        <v>924.99999999999977</v>
      </c>
      <c r="E15" s="39">
        <f t="shared" si="12"/>
        <v>859.1</v>
      </c>
      <c r="F15" s="39">
        <f t="shared" si="12"/>
        <v>790.89999999999964</v>
      </c>
      <c r="G15" s="39">
        <f t="shared" si="12"/>
        <v>751.90000000000043</v>
      </c>
      <c r="H15" s="39">
        <f t="shared" si="12"/>
        <v>578.59999999999991</v>
      </c>
      <c r="I15" s="39">
        <f t="shared" si="12"/>
        <v>499.39999999999992</v>
      </c>
      <c r="J15" s="39">
        <f t="shared" ref="J15:R15" si="13">J13-J14</f>
        <v>516.39999999999986</v>
      </c>
      <c r="K15" s="39">
        <f t="shared" si="13"/>
        <v>494.15000000000009</v>
      </c>
      <c r="L15" s="39">
        <f t="shared" si="13"/>
        <v>448.63600000000008</v>
      </c>
      <c r="M15" s="39">
        <f t="shared" si="13"/>
        <v>420.53600000000017</v>
      </c>
      <c r="N15" s="39">
        <f t="shared" si="13"/>
        <v>357.92900000000003</v>
      </c>
      <c r="O15" s="39">
        <f t="shared" si="13"/>
        <v>265.35600000000005</v>
      </c>
      <c r="P15" s="39">
        <f t="shared" si="13"/>
        <v>184.35699999999991</v>
      </c>
      <c r="Q15" s="39">
        <f t="shared" si="13"/>
        <v>279.70500000000015</v>
      </c>
      <c r="R15" s="39">
        <f t="shared" si="13"/>
        <v>232.62200000000001</v>
      </c>
      <c r="S15" s="39">
        <f t="shared" ref="S15" si="14">S13-S14</f>
        <v>199.03799999999995</v>
      </c>
      <c r="T15" s="39">
        <f t="shared" ref="T15" si="15">T13-T14</f>
        <v>166.81400000000008</v>
      </c>
    </row>
    <row r="16" spans="1:20" ht="20" thickTop="1" x14ac:dyDescent="0.25">
      <c r="B16" s="11"/>
      <c r="C16" s="25"/>
      <c r="D16" s="10"/>
      <c r="E16" s="10"/>
      <c r="F16" s="10"/>
      <c r="G16" s="10"/>
      <c r="H16" s="10"/>
      <c r="I16" s="10"/>
      <c r="J16" s="10"/>
      <c r="K16" s="10"/>
      <c r="M16" s="9"/>
      <c r="N16" s="9"/>
      <c r="O16" s="9"/>
      <c r="P16" s="9"/>
      <c r="Q16" s="10"/>
      <c r="R16" s="10"/>
      <c r="S16" s="10"/>
      <c r="T16" s="10"/>
    </row>
    <row r="17" spans="1:20" x14ac:dyDescent="0.25">
      <c r="A17" s="3" t="s">
        <v>125</v>
      </c>
      <c r="B17" s="38">
        <v>576.6</v>
      </c>
      <c r="C17" s="48">
        <v>576.9</v>
      </c>
      <c r="D17" s="14">
        <v>577.1</v>
      </c>
      <c r="E17" s="14">
        <v>575.70000000000005</v>
      </c>
      <c r="F17" s="14">
        <v>574.4</v>
      </c>
      <c r="G17" s="14">
        <v>574.29999999999995</v>
      </c>
      <c r="H17" s="14">
        <v>576.70000000000005</v>
      </c>
      <c r="I17" s="14">
        <f>289.2*2</f>
        <v>578.4</v>
      </c>
      <c r="J17" s="14">
        <f>292*2</f>
        <v>584</v>
      </c>
      <c r="K17" s="14">
        <f>297.313*2</f>
        <v>594.62599999999998</v>
      </c>
      <c r="L17" s="36">
        <f>297.684*2</f>
        <v>595.36800000000005</v>
      </c>
      <c r="M17" s="36">
        <f>297.151*2</f>
        <v>594.30200000000002</v>
      </c>
      <c r="N17" s="36">
        <f>295.054*2</f>
        <v>590.10799999999995</v>
      </c>
      <c r="O17" s="36">
        <f>294.861*2</f>
        <v>589.72199999999998</v>
      </c>
      <c r="P17" s="36">
        <f>296.716*2</f>
        <v>593.43200000000002</v>
      </c>
      <c r="Q17" s="14">
        <f>148.831*4</f>
        <v>595.32399999999996</v>
      </c>
      <c r="R17" s="14">
        <f>150.555*4</f>
        <v>602.22</v>
      </c>
      <c r="S17" s="14">
        <f>151.165*4</f>
        <v>604.66</v>
      </c>
      <c r="T17" s="14">
        <f>151.508*4</f>
        <v>606.03200000000004</v>
      </c>
    </row>
    <row r="18" spans="1:20" x14ac:dyDescent="0.25">
      <c r="A18" s="3" t="s">
        <v>56</v>
      </c>
      <c r="B18" s="35">
        <f t="shared" ref="B18:I18" si="16">B15/B17</f>
        <v>1.4590704127644818</v>
      </c>
      <c r="C18" s="51">
        <f t="shared" si="16"/>
        <v>1.2026347720575494</v>
      </c>
      <c r="D18" s="12">
        <f t="shared" si="16"/>
        <v>1.6028417951828102</v>
      </c>
      <c r="E18" s="12">
        <f t="shared" si="16"/>
        <v>1.4922702796595448</v>
      </c>
      <c r="F18" s="12">
        <f t="shared" si="16"/>
        <v>1.3769150417827292</v>
      </c>
      <c r="G18" s="12">
        <f t="shared" si="16"/>
        <v>1.3092460386557556</v>
      </c>
      <c r="H18" s="12">
        <f t="shared" si="16"/>
        <v>1.0032946072481357</v>
      </c>
      <c r="I18" s="12">
        <f t="shared" si="16"/>
        <v>0.86341632088520048</v>
      </c>
      <c r="J18" s="12">
        <f t="shared" ref="J18:R18" si="17">J15/J17</f>
        <v>0.88424657534246554</v>
      </c>
      <c r="K18" s="12">
        <f t="shared" si="17"/>
        <v>0.83102656123344776</v>
      </c>
      <c r="L18" s="12">
        <f t="shared" si="17"/>
        <v>0.75354402655164543</v>
      </c>
      <c r="M18" s="12">
        <f t="shared" si="17"/>
        <v>0.70761330098165609</v>
      </c>
      <c r="N18" s="12">
        <f t="shared" si="17"/>
        <v>0.60654829285486733</v>
      </c>
      <c r="O18" s="12">
        <f t="shared" si="17"/>
        <v>0.44996795100064108</v>
      </c>
      <c r="P18" s="12">
        <f t="shared" si="17"/>
        <v>0.31066238423273418</v>
      </c>
      <c r="Q18" s="12">
        <f t="shared" si="17"/>
        <v>0.46983659318287213</v>
      </c>
      <c r="R18" s="12">
        <f t="shared" si="17"/>
        <v>0.38627411909269038</v>
      </c>
      <c r="S18" s="12">
        <f t="shared" ref="S18" si="18">S15/S17</f>
        <v>0.32917341977309555</v>
      </c>
      <c r="T18" s="12">
        <f t="shared" ref="T18" si="19">T15/T17</f>
        <v>0.27525609208754664</v>
      </c>
    </row>
    <row r="19" spans="1:20" x14ac:dyDescent="0.25">
      <c r="B19" s="11"/>
      <c r="C19" s="25"/>
      <c r="D19" s="10"/>
      <c r="E19" s="10"/>
      <c r="F19" s="10"/>
      <c r="G19" s="10"/>
      <c r="H19" s="10"/>
      <c r="I19" s="10"/>
      <c r="J19" s="10"/>
      <c r="K19" s="10"/>
      <c r="M19" s="9"/>
      <c r="N19" s="9"/>
      <c r="O19" s="9"/>
      <c r="P19" s="9"/>
      <c r="Q19" s="10"/>
      <c r="R19" s="12"/>
    </row>
    <row r="20" spans="1:20" x14ac:dyDescent="0.25">
      <c r="A20" s="3" t="s">
        <v>20</v>
      </c>
      <c r="B20" s="52">
        <f t="shared" ref="B20:I20" si="20">B7/B5</f>
        <v>0.46308420056764427</v>
      </c>
      <c r="C20" s="53">
        <f t="shared" si="20"/>
        <v>0.46088412592096456</v>
      </c>
      <c r="D20" s="20">
        <f t="shared" si="20"/>
        <v>0.46202731704070937</v>
      </c>
      <c r="E20" s="20">
        <f t="shared" si="20"/>
        <v>0.4546951640607016</v>
      </c>
      <c r="F20" s="20">
        <f t="shared" si="20"/>
        <v>0.4716050771509458</v>
      </c>
      <c r="G20" s="20">
        <f t="shared" si="20"/>
        <v>0.4831524037783731</v>
      </c>
      <c r="H20" s="20">
        <f t="shared" si="20"/>
        <v>0.49279125384352579</v>
      </c>
      <c r="I20" s="20">
        <f t="shared" si="20"/>
        <v>0.49591115598182733</v>
      </c>
      <c r="J20" s="20">
        <f t="shared" ref="J20:T20" si="21">J7/J5</f>
        <v>0.50369585444019438</v>
      </c>
      <c r="K20" s="20">
        <f t="shared" si="21"/>
        <v>0.50820903777601056</v>
      </c>
      <c r="L20" s="20">
        <f t="shared" si="21"/>
        <v>0.51695436044431542</v>
      </c>
      <c r="M20" s="20">
        <f t="shared" si="21"/>
        <v>0.51523354939099952</v>
      </c>
      <c r="N20" s="20">
        <f t="shared" si="21"/>
        <v>0.51833938773172039</v>
      </c>
      <c r="O20" s="20">
        <f t="shared" si="21"/>
        <v>0.51766953620469269</v>
      </c>
      <c r="P20" s="20">
        <f t="shared" si="21"/>
        <v>0.50946470292644264</v>
      </c>
      <c r="Q20" s="20">
        <f t="shared" si="21"/>
        <v>0.52814852003375456</v>
      </c>
      <c r="R20" s="20">
        <f t="shared" si="21"/>
        <v>0.50808242624595079</v>
      </c>
      <c r="S20" s="20">
        <f t="shared" si="21"/>
        <v>0.5016616583864697</v>
      </c>
      <c r="T20" s="20">
        <f t="shared" si="21"/>
        <v>0.49766072158877933</v>
      </c>
    </row>
    <row r="21" spans="1:20" x14ac:dyDescent="0.25">
      <c r="A21" s="3" t="s">
        <v>3</v>
      </c>
      <c r="B21" s="52">
        <f t="shared" ref="B21:I21" si="22">B10/B5</f>
        <v>0.21205298013245033</v>
      </c>
      <c r="C21" s="53">
        <f t="shared" si="22"/>
        <v>0.20462156731413267</v>
      </c>
      <c r="D21" s="20">
        <f t="shared" si="22"/>
        <v>0.20253206674541249</v>
      </c>
      <c r="E21" s="20">
        <f t="shared" si="22"/>
        <v>0.20218511501071312</v>
      </c>
      <c r="F21" s="20">
        <f t="shared" si="22"/>
        <v>0.19821137296810837</v>
      </c>
      <c r="G21" s="20">
        <f t="shared" si="22"/>
        <v>0.2012446879216935</v>
      </c>
      <c r="H21" s="20">
        <f t="shared" si="22"/>
        <v>0.20084272861860836</v>
      </c>
      <c r="I21" s="20">
        <f t="shared" si="22"/>
        <v>0.20085815244825844</v>
      </c>
      <c r="J21" s="20">
        <f t="shared" ref="J21:T21" si="23">J10/J5</f>
        <v>0.21420448671560011</v>
      </c>
      <c r="K21" s="20">
        <f t="shared" si="23"/>
        <v>0.21095179411743437</v>
      </c>
      <c r="L21" s="20">
        <f t="shared" si="23"/>
        <v>0.21426166213584297</v>
      </c>
      <c r="M21" s="20">
        <f t="shared" si="23"/>
        <v>0.2149910469728365</v>
      </c>
      <c r="N21" s="20">
        <f t="shared" si="23"/>
        <v>0.20767556279521293</v>
      </c>
      <c r="O21" s="20">
        <f t="shared" si="23"/>
        <v>0.1893344307990717</v>
      </c>
      <c r="P21" s="20">
        <f t="shared" si="23"/>
        <v>0.15323442105753934</v>
      </c>
      <c r="Q21" s="20">
        <f t="shared" si="23"/>
        <v>0.19237403463046246</v>
      </c>
      <c r="R21" s="20">
        <f t="shared" si="23"/>
        <v>0.18256937199628095</v>
      </c>
      <c r="S21" s="20">
        <f t="shared" si="23"/>
        <v>0.17677303896399615</v>
      </c>
      <c r="T21" s="20">
        <f t="shared" si="23"/>
        <v>0.17584073869600414</v>
      </c>
    </row>
    <row r="22" spans="1:20" x14ac:dyDescent="0.25">
      <c r="A22" s="3" t="s">
        <v>4</v>
      </c>
      <c r="B22" s="52">
        <f t="shared" ref="B22:I22" si="24">B15/B5</f>
        <v>0.15918637653736994</v>
      </c>
      <c r="C22" s="53">
        <f t="shared" si="24"/>
        <v>0.15490064746595228</v>
      </c>
      <c r="D22" s="20">
        <f t="shared" si="24"/>
        <v>0.1538871050924154</v>
      </c>
      <c r="E22" s="20">
        <f t="shared" si="24"/>
        <v>0.15212579462752113</v>
      </c>
      <c r="F22" s="20">
        <f t="shared" si="24"/>
        <v>0.14828355550555894</v>
      </c>
      <c r="G22" s="20">
        <f t="shared" si="24"/>
        <v>0.15143703047269952</v>
      </c>
      <c r="H22" s="20">
        <f t="shared" si="24"/>
        <v>0.13178453479102606</v>
      </c>
      <c r="I22" s="20">
        <f t="shared" si="24"/>
        <v>0.1260474507824331</v>
      </c>
      <c r="J22" s="20">
        <f t="shared" ref="J22:T22" si="25">J15/J5</f>
        <v>0.1334642820221234</v>
      </c>
      <c r="K22" s="20">
        <f t="shared" si="25"/>
        <v>0.13235545025093032</v>
      </c>
      <c r="L22" s="20">
        <f t="shared" si="25"/>
        <v>0.13488325387104322</v>
      </c>
      <c r="M22" s="20">
        <f t="shared" si="25"/>
        <v>0.13420318058244624</v>
      </c>
      <c r="N22" s="20">
        <f t="shared" si="25"/>
        <v>0.12936293464900092</v>
      </c>
      <c r="O22" s="20">
        <f t="shared" si="25"/>
        <v>0.1169241642655932</v>
      </c>
      <c r="P22" s="20">
        <f t="shared" si="25"/>
        <v>9.5505431713748382E-2</v>
      </c>
      <c r="Q22" s="20">
        <f t="shared" si="25"/>
        <v>0.11951034534326037</v>
      </c>
      <c r="R22" s="20">
        <f t="shared" si="25"/>
        <v>0.11282367656908779</v>
      </c>
      <c r="S22" s="20">
        <f t="shared" si="25"/>
        <v>0.11000604088679995</v>
      </c>
      <c r="T22" s="20">
        <f t="shared" si="25"/>
        <v>0.10950593205819087</v>
      </c>
    </row>
    <row r="23" spans="1:20" x14ac:dyDescent="0.25">
      <c r="B23" s="54"/>
      <c r="C23" s="55"/>
      <c r="D23" s="21"/>
      <c r="E23" s="21"/>
      <c r="F23" s="21"/>
      <c r="G23" s="21"/>
      <c r="H23" s="21"/>
      <c r="I23" s="21"/>
      <c r="J23" s="21"/>
      <c r="K23" s="21"/>
      <c r="L23" s="22"/>
      <c r="M23" s="22"/>
      <c r="N23" s="9"/>
      <c r="O23" s="9"/>
      <c r="P23" s="9"/>
      <c r="Q23" s="10"/>
      <c r="R23" s="10"/>
    </row>
    <row r="24" spans="1:20" x14ac:dyDescent="0.25">
      <c r="A24" s="3" t="s">
        <v>126</v>
      </c>
      <c r="B24" s="52">
        <f t="shared" ref="B24:I24" si="26">B8/B5</f>
        <v>0.25103122043519394</v>
      </c>
      <c r="C24" s="53">
        <f t="shared" si="26"/>
        <v>0.25626255860683189</v>
      </c>
      <c r="D24" s="20">
        <f t="shared" si="26"/>
        <v>0.25949525029529691</v>
      </c>
      <c r="E24" s="20">
        <f t="shared" si="26"/>
        <v>0.25275795512899973</v>
      </c>
      <c r="F24" s="20">
        <f t="shared" si="26"/>
        <v>0.27361868871515088</v>
      </c>
      <c r="G24" s="20">
        <f t="shared" si="26"/>
        <v>0.28200841876296551</v>
      </c>
      <c r="H24" s="20">
        <f t="shared" si="26"/>
        <v>0.29217628971643322</v>
      </c>
      <c r="I24" s="20">
        <f t="shared" si="26"/>
        <v>0.29517920242301871</v>
      </c>
      <c r="J24" s="20">
        <f t="shared" ref="J24:T24" si="27">J8/J5</f>
        <v>0.28985319962783007</v>
      </c>
      <c r="K24" s="20">
        <f t="shared" si="27"/>
        <v>0.297515445933274</v>
      </c>
      <c r="L24" s="20">
        <f t="shared" si="27"/>
        <v>0.30288601746306343</v>
      </c>
      <c r="M24" s="20">
        <f t="shared" si="27"/>
        <v>0.30037110943819156</v>
      </c>
      <c r="N24" s="20">
        <f t="shared" si="27"/>
        <v>0.31059370932888164</v>
      </c>
      <c r="O24" s="20">
        <f t="shared" si="27"/>
        <v>0.32831968330945843</v>
      </c>
      <c r="P24" s="20">
        <f t="shared" si="27"/>
        <v>0.35578994265229263</v>
      </c>
      <c r="Q24" s="20">
        <f t="shared" si="27"/>
        <v>0.33570313084162062</v>
      </c>
      <c r="R24" s="20">
        <f t="shared" si="27"/>
        <v>0.32556107010363183</v>
      </c>
      <c r="S24" s="20">
        <f t="shared" si="27"/>
        <v>0.32476536985647231</v>
      </c>
      <c r="T24" s="20">
        <f t="shared" si="27"/>
        <v>0.32152654737998843</v>
      </c>
    </row>
    <row r="25" spans="1:20" x14ac:dyDescent="0.25">
      <c r="B25" s="52"/>
      <c r="C25" s="53"/>
      <c r="D25" s="20"/>
      <c r="E25" s="20"/>
      <c r="F25" s="20"/>
      <c r="G25" s="20"/>
      <c r="H25" s="20"/>
      <c r="I25" s="20"/>
      <c r="J25" s="20"/>
      <c r="K25" s="20"/>
      <c r="L25" s="20"/>
      <c r="M25" s="20"/>
      <c r="N25" s="20"/>
      <c r="O25" s="20"/>
      <c r="P25" s="20"/>
      <c r="Q25" s="20"/>
      <c r="R25" s="20"/>
      <c r="S25" s="20"/>
      <c r="T25" s="20"/>
    </row>
    <row r="26" spans="1:20" x14ac:dyDescent="0.25">
      <c r="A26" s="3" t="s">
        <v>124</v>
      </c>
      <c r="B26" s="20">
        <f>B14/B13</f>
        <v>0.24329915452419495</v>
      </c>
      <c r="C26" s="53">
        <f t="shared" ref="C26:T26" si="28">C14/C13</f>
        <v>0.23699549103706141</v>
      </c>
      <c r="D26" s="20">
        <f t="shared" si="28"/>
        <v>0.2341447259480047</v>
      </c>
      <c r="E26" s="20">
        <f t="shared" si="28"/>
        <v>0.24154674671139756</v>
      </c>
      <c r="F26" s="20">
        <f t="shared" si="28"/>
        <v>0.24221519593753005</v>
      </c>
      <c r="G26" s="20">
        <f t="shared" si="28"/>
        <v>0.2381965552178317</v>
      </c>
      <c r="H26" s="20">
        <f t="shared" si="28"/>
        <v>0.33730385980987287</v>
      </c>
      <c r="I26" s="20">
        <f t="shared" si="28"/>
        <v>0.36760795238698246</v>
      </c>
      <c r="J26" s="20">
        <f t="shared" si="28"/>
        <v>0.37489408061977975</v>
      </c>
      <c r="K26" s="20">
        <f t="shared" si="28"/>
        <v>0.37245534228900451</v>
      </c>
      <c r="L26" s="20">
        <f t="shared" si="28"/>
        <v>0.37118973801207616</v>
      </c>
      <c r="M26" s="20">
        <f t="shared" si="28"/>
        <v>0.37620280202624012</v>
      </c>
      <c r="N26" s="20">
        <f t="shared" si="28"/>
        <v>0.37760245947962112</v>
      </c>
      <c r="O26" s="20">
        <f t="shared" si="28"/>
        <v>0.38381014304291283</v>
      </c>
      <c r="P26" s="20">
        <f t="shared" si="28"/>
        <v>0.38029177451342916</v>
      </c>
      <c r="Q26" s="20">
        <f t="shared" si="28"/>
        <v>0.38004109343103537</v>
      </c>
      <c r="R26" s="20">
        <f t="shared" si="28"/>
        <v>0.38443340680975602</v>
      </c>
      <c r="S26" s="20">
        <f t="shared" si="28"/>
        <v>0.37999993770033241</v>
      </c>
      <c r="T26" s="20">
        <f t="shared" si="28"/>
        <v>0.38000267602283527</v>
      </c>
    </row>
    <row r="27" spans="1:20" x14ac:dyDescent="0.25">
      <c r="A27" s="3" t="s">
        <v>110</v>
      </c>
      <c r="B27" s="20">
        <f>(B5/C5)-1</f>
        <v>0.17995088189327979</v>
      </c>
      <c r="C27" s="28"/>
      <c r="D27" s="20">
        <f>(D5/E5)-1</f>
        <v>6.438475023462531E-2</v>
      </c>
      <c r="E27" s="20">
        <f t="shared" ref="E27:S27" si="29">(E5/F5)-1</f>
        <v>5.8795957777902919E-2</v>
      </c>
      <c r="F27" s="20">
        <f t="shared" si="29"/>
        <v>7.4238182513947315E-2</v>
      </c>
      <c r="G27" s="20">
        <f t="shared" si="29"/>
        <v>0.13087347682496309</v>
      </c>
      <c r="H27" s="20">
        <f t="shared" si="29"/>
        <v>0.10815244825845527</v>
      </c>
      <c r="I27" s="20">
        <f t="shared" si="29"/>
        <v>2.3984286157345158E-2</v>
      </c>
      <c r="J27" s="20">
        <f t="shared" si="29"/>
        <v>3.6344648610542318E-2</v>
      </c>
      <c r="K27" s="20">
        <f t="shared" si="29"/>
        <v>0.12248587387172871</v>
      </c>
      <c r="L27" s="20">
        <f t="shared" si="29"/>
        <v>6.1440647541132654E-2</v>
      </c>
      <c r="M27" s="20">
        <f t="shared" si="29"/>
        <v>0.13253946081097756</v>
      </c>
      <c r="N27" s="20">
        <f t="shared" si="29"/>
        <v>0.21916473045921281</v>
      </c>
      <c r="O27" s="20">
        <f t="shared" si="29"/>
        <v>0.17569068501240714</v>
      </c>
      <c r="P27" s="20">
        <f t="shared" si="29"/>
        <v>-0.17522244891419303</v>
      </c>
      <c r="Q27" s="20">
        <f t="shared" si="29"/>
        <v>0.13512631322148083</v>
      </c>
      <c r="R27" s="20">
        <f t="shared" si="29"/>
        <v>0.13954393239070439</v>
      </c>
      <c r="S27" s="20">
        <f t="shared" si="29"/>
        <v>0.18774883758180239</v>
      </c>
    </row>
    <row r="28" spans="1:20" x14ac:dyDescent="0.25">
      <c r="B28" s="10"/>
      <c r="C28" s="25"/>
      <c r="D28" s="10"/>
      <c r="E28" s="10"/>
      <c r="F28" s="10"/>
      <c r="G28" s="10"/>
      <c r="H28" s="10"/>
      <c r="I28" s="10"/>
      <c r="J28" s="10"/>
      <c r="K28" s="10"/>
      <c r="M28" s="9"/>
      <c r="N28" s="9"/>
      <c r="O28" s="9"/>
      <c r="P28" s="9"/>
      <c r="Q28" s="10"/>
      <c r="R28" s="10"/>
    </row>
    <row r="29" spans="1:20" x14ac:dyDescent="0.25">
      <c r="A29" s="3" t="s">
        <v>111</v>
      </c>
      <c r="B29" s="14">
        <f>'Cash Flow Analysis (Annual)'!B8</f>
        <v>123.8</v>
      </c>
      <c r="C29" s="48"/>
      <c r="D29" s="14">
        <f>'Cash Flow Analysis (Annual)'!C8</f>
        <v>159.9</v>
      </c>
      <c r="E29" s="14">
        <f>'Cash Flow Analysis (Annual)'!D8</f>
        <v>153.30000000000001</v>
      </c>
      <c r="F29" s="14">
        <f>'Cash Flow Analysis (Annual)'!E8</f>
        <v>144.6</v>
      </c>
      <c r="G29" s="14">
        <f>'Cash Flow Analysis (Annual)'!F8</f>
        <v>134.1</v>
      </c>
      <c r="H29" s="14">
        <f>'Cash Flow Analysis (Annual)'!G8</f>
        <v>123.6</v>
      </c>
      <c r="I29" s="14">
        <f>'Cash Flow Analysis (Annual)'!H8</f>
        <v>103.5</v>
      </c>
      <c r="J29" s="14">
        <f>'Cash Flow Analysis (Annual)'!I8</f>
        <v>86.070999999999998</v>
      </c>
      <c r="K29" s="14">
        <f>'Cash Flow Analysis (Annual)'!J8</f>
        <v>72.144999999999996</v>
      </c>
      <c r="L29" s="14">
        <f>'Cash Flow Analysis (Annual)'!K8</f>
        <v>63.77</v>
      </c>
      <c r="M29" s="14">
        <f>'Cash Flow Analysis (Annual)'!L8</f>
        <v>53.459000000000003</v>
      </c>
      <c r="N29" s="14">
        <f>'Cash Flow Analysis (Annual)'!M8</f>
        <v>44.113</v>
      </c>
      <c r="O29" s="14">
        <f>'Cash Flow Analysis (Annual)'!N8</f>
        <v>40.688000000000002</v>
      </c>
      <c r="P29" s="14">
        <f>'Cash Flow Analysis (Annual)'!O8</f>
        <v>40.020000000000003</v>
      </c>
      <c r="Q29" s="14">
        <f>'Cash Flow Analysis (Annual)'!P8</f>
        <v>39.201000000000001</v>
      </c>
      <c r="R29" s="14">
        <f>'Cash Flow Analysis (Annual)'!Q8</f>
        <v>37.332000000000001</v>
      </c>
      <c r="S29" s="14"/>
      <c r="T29" s="14"/>
    </row>
    <row r="30" spans="1:20" x14ac:dyDescent="0.25">
      <c r="A30" s="3" t="s">
        <v>113</v>
      </c>
      <c r="B30" s="20">
        <f>B29/B5</f>
        <v>2.3424787133396404E-2</v>
      </c>
      <c r="C30" s="53"/>
      <c r="D30" s="20">
        <f>D29/D5</f>
        <v>2.6601673626245655E-2</v>
      </c>
      <c r="E30" s="20">
        <f t="shared" ref="E30:R30" si="30">E29/E5</f>
        <v>2.7145715651727374E-2</v>
      </c>
      <c r="F30" s="20">
        <f t="shared" si="30"/>
        <v>2.7110636143765115E-2</v>
      </c>
      <c r="G30" s="20">
        <f t="shared" si="30"/>
        <v>2.700851946587178E-2</v>
      </c>
      <c r="H30" s="20">
        <f t="shared" si="30"/>
        <v>2.8151691151349502E-2</v>
      </c>
      <c r="I30" s="20">
        <f t="shared" si="30"/>
        <v>2.6123170116102979E-2</v>
      </c>
      <c r="J30" s="20">
        <f t="shared" si="30"/>
        <v>2.2245166959578209E-2</v>
      </c>
      <c r="K30" s="20">
        <f t="shared" si="30"/>
        <v>1.9323654676420856E-2</v>
      </c>
      <c r="L30" s="20">
        <f t="shared" si="30"/>
        <v>1.9172569966200717E-2</v>
      </c>
      <c r="M30" s="20">
        <f t="shared" si="30"/>
        <v>1.706005628711214E-2</v>
      </c>
      <c r="N30" s="20">
        <f t="shared" si="30"/>
        <v>1.5943349480403591E-2</v>
      </c>
      <c r="O30" s="20">
        <f t="shared" si="30"/>
        <v>1.7928407104563136E-2</v>
      </c>
      <c r="P30" s="20">
        <f t="shared" si="30"/>
        <v>2.0732206410302902E-2</v>
      </c>
      <c r="Q30" s="20">
        <f t="shared" si="30"/>
        <v>1.6749521988527725E-2</v>
      </c>
      <c r="R30" s="20">
        <f t="shared" si="30"/>
        <v>1.810634202129285E-2</v>
      </c>
      <c r="S30" s="10"/>
      <c r="T30" s="10"/>
    </row>
    <row r="31" spans="1:20" x14ac:dyDescent="0.25">
      <c r="B31" s="10"/>
      <c r="C31" s="25"/>
      <c r="D31" s="10"/>
      <c r="E31" s="10"/>
      <c r="F31" s="10"/>
      <c r="G31" s="10"/>
      <c r="H31" s="10"/>
      <c r="I31" s="10"/>
      <c r="J31" s="10"/>
      <c r="K31" s="10"/>
      <c r="L31" s="10"/>
      <c r="M31" s="10"/>
      <c r="N31" s="10"/>
      <c r="O31" s="10"/>
      <c r="P31" s="10"/>
      <c r="Q31" s="10"/>
      <c r="R31" s="10"/>
      <c r="S31" s="10"/>
      <c r="T31" s="10"/>
    </row>
    <row r="32" spans="1:20" x14ac:dyDescent="0.25">
      <c r="A32" s="3" t="s">
        <v>112</v>
      </c>
      <c r="B32" s="14">
        <f>-('Cash Flow Analysis (Annual)'!B25+'Cash Flow Analysis (Annual)'!B27)</f>
        <v>120.9</v>
      </c>
      <c r="C32" s="48"/>
      <c r="D32" s="14">
        <f>-('Cash Flow Analysis (Annual)'!C25+'Cash Flow Analysis (Annual)'!C27)</f>
        <v>148.19999999999999</v>
      </c>
      <c r="E32" s="14">
        <f>-('Cash Flow Analysis (Annual)'!D25+'Cash Flow Analysis (Annual)'!D27)</f>
        <v>157.5</v>
      </c>
      <c r="F32" s="14">
        <f>-('Cash Flow Analysis (Annual)'!E25+'Cash Flow Analysis (Annual)'!E27)</f>
        <v>239.8</v>
      </c>
      <c r="G32" s="14">
        <f>-('Cash Flow Analysis (Annual)'!F25+'Cash Flow Analysis (Annual)'!F27)</f>
        <v>166.8</v>
      </c>
      <c r="H32" s="14">
        <f>-('Cash Flow Analysis (Annual)'!G25+'Cash Flow Analysis (Annual)'!G27)</f>
        <v>112.5</v>
      </c>
      <c r="I32" s="14">
        <f>-('Cash Flow Analysis (Annual)'!H25+'Cash Flow Analysis (Annual)'!H27)</f>
        <v>183</v>
      </c>
      <c r="J32" s="14">
        <f>-('Cash Flow Analysis (Annual)'!I25+'Cash Flow Analysis (Annual)'!I27)</f>
        <v>145.227</v>
      </c>
      <c r="K32" s="14">
        <f>-('Cash Flow Analysis (Annual)'!J25+'Cash Flow Analysis (Annual)'!J27)</f>
        <v>183.655</v>
      </c>
      <c r="L32" s="14">
        <f>-('Cash Flow Analysis (Annual)'!K25+'Cash Flow Analysis (Annual)'!K27)</f>
        <v>201.54999999999998</v>
      </c>
      <c r="M32" s="14">
        <f>-('Cash Flow Analysis (Annual)'!L25+'Cash Flow Analysis (Annual)'!L27)</f>
        <v>133.88200000000001</v>
      </c>
      <c r="N32" s="14">
        <f>-('Cash Flow Analysis (Annual)'!M25+'Cash Flow Analysis (Annual)'!M27)</f>
        <v>116.489</v>
      </c>
      <c r="O32" s="14">
        <f>-('Cash Flow Analysis (Annual)'!N25+'Cash Flow Analysis (Annual)'!N27)</f>
        <v>69.137999999999991</v>
      </c>
      <c r="P32" s="14">
        <f>-('Cash Flow Analysis (Annual)'!O25+'Cash Flow Analysis (Annual)'!O27)</f>
        <v>47.674999999999997</v>
      </c>
      <c r="Q32" s="14">
        <f>-('Cash Flow Analysis (Annual)'!P25+'Cash Flow Analysis (Annual)'!P27)</f>
        <v>86.923000000000002</v>
      </c>
      <c r="R32" s="14">
        <f>-('Cash Flow Analysis (Annual)'!Q25+'Cash Flow Analysis (Annual)'!Q27)</f>
        <v>49.83</v>
      </c>
      <c r="S32" s="14"/>
      <c r="T32" s="14"/>
    </row>
    <row r="33" spans="1:18" x14ac:dyDescent="0.25">
      <c r="A33" s="3" t="s">
        <v>113</v>
      </c>
      <c r="B33" s="20">
        <f>B32/B5</f>
        <v>2.2876064333017976E-2</v>
      </c>
      <c r="C33" s="53"/>
      <c r="D33" s="20">
        <f>D32/D5</f>
        <v>2.4655209702374021E-2</v>
      </c>
      <c r="E33" s="20">
        <f t="shared" ref="E33:R33" si="31">E32/E5</f>
        <v>2.7889433888761E-2</v>
      </c>
      <c r="F33" s="20">
        <f t="shared" si="31"/>
        <v>4.4959409040628458E-2</v>
      </c>
      <c r="G33" s="20">
        <f t="shared" si="31"/>
        <v>3.3594489536968038E-2</v>
      </c>
      <c r="H33" s="20">
        <f t="shared" si="31"/>
        <v>2.5623505295524429E-2</v>
      </c>
      <c r="I33" s="20">
        <f t="shared" si="31"/>
        <v>4.6188793538616858E-2</v>
      </c>
      <c r="J33" s="20">
        <f t="shared" si="31"/>
        <v>3.7534115579447948E-2</v>
      </c>
      <c r="K33" s="20">
        <f t="shared" si="31"/>
        <v>4.9191015310805629E-2</v>
      </c>
      <c r="L33" s="20">
        <f t="shared" si="31"/>
        <v>6.0596385082135079E-2</v>
      </c>
      <c r="M33" s="20">
        <f t="shared" si="31"/>
        <v>4.2724975323727481E-2</v>
      </c>
      <c r="N33" s="20">
        <f t="shared" si="31"/>
        <v>4.2101531014048788E-2</v>
      </c>
      <c r="O33" s="20">
        <f t="shared" si="31"/>
        <v>3.0464368128079181E-2</v>
      </c>
      <c r="P33" s="20">
        <f t="shared" si="31"/>
        <v>2.4697849590484527E-2</v>
      </c>
      <c r="Q33" s="20">
        <f t="shared" si="31"/>
        <v>3.7139835713599023E-2</v>
      </c>
      <c r="R33" s="20">
        <f t="shared" si="31"/>
        <v>2.4167979827521231E-2</v>
      </c>
    </row>
    <row r="34" spans="1:18" x14ac:dyDescent="0.25">
      <c r="I34" s="10"/>
      <c r="J34" s="10"/>
      <c r="K34" s="10"/>
      <c r="M34" s="9"/>
      <c r="N34" s="9"/>
      <c r="O34" s="9"/>
      <c r="P34" s="9"/>
      <c r="Q34" s="10"/>
      <c r="R34" s="10"/>
    </row>
    <row r="35" spans="1:18" x14ac:dyDescent="0.25">
      <c r="B35" s="58"/>
      <c r="C35" s="58"/>
      <c r="D35" s="58"/>
      <c r="E35" s="58"/>
      <c r="F35" s="58"/>
      <c r="G35" s="58"/>
      <c r="H35" s="58"/>
      <c r="I35" s="58"/>
      <c r="J35" s="58"/>
      <c r="K35" s="58"/>
      <c r="L35" s="58"/>
      <c r="M35" s="58"/>
      <c r="N35" s="58"/>
      <c r="O35" s="58"/>
      <c r="P35" s="58"/>
      <c r="Q35" s="58"/>
      <c r="R35" s="58"/>
    </row>
    <row r="36" spans="1:18" x14ac:dyDescent="0.25">
      <c r="I36" s="10"/>
      <c r="J36" s="10"/>
      <c r="K36" s="10"/>
      <c r="M36" s="9"/>
      <c r="N36" s="9"/>
      <c r="O36" s="9"/>
      <c r="P36" s="9"/>
      <c r="Q36" s="10"/>
      <c r="R36" s="10"/>
    </row>
    <row r="37" spans="1:18" x14ac:dyDescent="0.25">
      <c r="I37" s="10"/>
      <c r="J37" s="10"/>
      <c r="K37" s="10"/>
      <c r="M37" s="9"/>
      <c r="N37" s="9"/>
      <c r="O37" s="9"/>
      <c r="P37" s="9"/>
      <c r="Q37" s="10"/>
      <c r="R37" s="10"/>
    </row>
    <row r="38" spans="1:18" x14ac:dyDescent="0.25">
      <c r="I38" s="10"/>
      <c r="J38" s="10"/>
      <c r="K38" s="10"/>
      <c r="M38" s="9"/>
      <c r="N38" s="9"/>
      <c r="O38" s="9"/>
      <c r="P38" s="9"/>
      <c r="Q38" s="10"/>
      <c r="R38" s="10"/>
    </row>
    <row r="39" spans="1:18" x14ac:dyDescent="0.25">
      <c r="I39" s="10"/>
      <c r="J39" s="10"/>
      <c r="K39" s="10"/>
      <c r="M39" s="9"/>
      <c r="N39" s="9"/>
      <c r="O39" s="9"/>
      <c r="P39" s="9"/>
      <c r="Q39" s="10"/>
      <c r="R39" s="10"/>
    </row>
    <row r="40" spans="1:18" x14ac:dyDescent="0.25">
      <c r="I40" s="10"/>
      <c r="J40" s="10"/>
      <c r="K40" s="10"/>
      <c r="M40" s="9"/>
      <c r="N40" s="9"/>
      <c r="O40" s="9"/>
      <c r="P40" s="9"/>
      <c r="Q40" s="10"/>
      <c r="R40" s="10"/>
    </row>
    <row r="41" spans="1:18" x14ac:dyDescent="0.25">
      <c r="I41" s="10"/>
      <c r="J41" s="10"/>
      <c r="K41" s="10"/>
      <c r="M41" s="9"/>
      <c r="N41" s="9"/>
      <c r="O41" s="9"/>
      <c r="P41" s="9"/>
      <c r="Q41" s="10"/>
      <c r="R41" s="10"/>
    </row>
    <row r="42" spans="1:18" x14ac:dyDescent="0.25">
      <c r="I42" s="10"/>
      <c r="J42" s="10"/>
      <c r="K42" s="10"/>
      <c r="M42" s="9"/>
      <c r="N42" s="9"/>
      <c r="O42" s="9"/>
      <c r="P42" s="9"/>
      <c r="Q42" s="10"/>
      <c r="R42" s="10"/>
    </row>
    <row r="43" spans="1:18" x14ac:dyDescent="0.25">
      <c r="I43" s="10"/>
      <c r="J43" s="10"/>
      <c r="K43" s="10"/>
      <c r="M43" s="9"/>
      <c r="N43" s="9"/>
      <c r="O43" s="9"/>
      <c r="P43" s="9"/>
      <c r="Q43" s="10"/>
      <c r="R43" s="10"/>
    </row>
    <row r="44" spans="1:18" x14ac:dyDescent="0.25">
      <c r="I44" s="10"/>
      <c r="J44" s="10"/>
      <c r="K44" s="10"/>
      <c r="M44" s="9"/>
      <c r="N44" s="9"/>
      <c r="O44" s="9"/>
      <c r="P44" s="9"/>
      <c r="Q44" s="10"/>
      <c r="R44" s="10"/>
    </row>
    <row r="45" spans="1:18" x14ac:dyDescent="0.25">
      <c r="I45" s="10"/>
      <c r="J45" s="10"/>
      <c r="K45" s="10"/>
      <c r="M45" s="9"/>
      <c r="N45" s="9"/>
      <c r="O45" s="9"/>
      <c r="P45" s="9"/>
      <c r="Q45" s="10"/>
      <c r="R45" s="10"/>
    </row>
  </sheetData>
  <mergeCells count="3">
    <mergeCell ref="D3:T3"/>
    <mergeCell ref="B3:C3"/>
    <mergeCell ref="A1:B1"/>
  </mergeCells>
  <pageMargins left="0.7" right="0.7" top="0.75" bottom="0.75" header="0.3" footer="0.3"/>
  <pageSetup scale="65" fitToHeight="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X72"/>
  <sheetViews>
    <sheetView workbookViewId="0">
      <pane ySplit="4" topLeftCell="A5" activePane="bottomLeft" state="frozen"/>
      <selection pane="bottomLeft"/>
    </sheetView>
  </sheetViews>
  <sheetFormatPr baseColWidth="10" defaultColWidth="9.1640625" defaultRowHeight="19" x14ac:dyDescent="0.25"/>
  <cols>
    <col min="1" max="1" width="78.5" style="3" customWidth="1"/>
    <col min="2" max="17" width="9.83203125" style="3" customWidth="1"/>
    <col min="18" max="16384" width="9.1640625" style="3"/>
  </cols>
  <sheetData>
    <row r="1" spans="1:24" ht="24" x14ac:dyDescent="0.3">
      <c r="A1" s="34" t="s">
        <v>203</v>
      </c>
      <c r="B1" s="57"/>
      <c r="C1" s="57"/>
      <c r="D1" s="57"/>
      <c r="E1" s="57"/>
      <c r="F1" s="57"/>
      <c r="G1" s="57"/>
      <c r="H1" s="8"/>
      <c r="I1" s="8"/>
    </row>
    <row r="2" spans="1:24" x14ac:dyDescent="0.25">
      <c r="A2" s="23" t="s">
        <v>243</v>
      </c>
      <c r="B2" s="23"/>
      <c r="C2" s="23"/>
      <c r="D2" s="23"/>
      <c r="E2" s="23"/>
      <c r="F2" s="23"/>
      <c r="G2" s="23"/>
      <c r="H2" s="23"/>
      <c r="I2" s="23"/>
    </row>
    <row r="3" spans="1:24" x14ac:dyDescent="0.25">
      <c r="A3" s="41"/>
      <c r="B3" s="61" t="s">
        <v>132</v>
      </c>
      <c r="C3" s="97" t="s">
        <v>122</v>
      </c>
      <c r="D3" s="97"/>
      <c r="E3" s="97"/>
      <c r="F3" s="97"/>
      <c r="G3" s="97"/>
      <c r="H3" s="97"/>
      <c r="I3" s="97"/>
      <c r="J3" s="97"/>
      <c r="K3" s="97"/>
      <c r="L3" s="97"/>
      <c r="M3" s="97"/>
      <c r="N3" s="97"/>
      <c r="O3" s="97"/>
      <c r="P3" s="97"/>
      <c r="Q3" s="97"/>
      <c r="R3" s="8"/>
      <c r="S3" s="8"/>
      <c r="T3" s="8"/>
      <c r="U3" s="8"/>
      <c r="V3" s="8"/>
      <c r="W3" s="8"/>
      <c r="X3" s="8"/>
    </row>
    <row r="4" spans="1:24" x14ac:dyDescent="0.25">
      <c r="A4" s="42" t="s">
        <v>115</v>
      </c>
      <c r="B4" s="62">
        <v>44834</v>
      </c>
      <c r="C4" s="18">
        <v>2021</v>
      </c>
      <c r="D4" s="18">
        <v>2020</v>
      </c>
      <c r="E4" s="18">
        <v>2019</v>
      </c>
      <c r="F4" s="18">
        <v>2018</v>
      </c>
      <c r="G4" s="18">
        <v>2017</v>
      </c>
      <c r="H4" s="18">
        <v>2016</v>
      </c>
      <c r="I4" s="18">
        <v>2015</v>
      </c>
      <c r="J4" s="18">
        <v>2014</v>
      </c>
      <c r="K4" s="18">
        <v>2013</v>
      </c>
      <c r="L4" s="18">
        <v>2012</v>
      </c>
      <c r="M4" s="18">
        <v>2011</v>
      </c>
      <c r="N4" s="24">
        <v>2010</v>
      </c>
      <c r="O4" s="18">
        <v>2009</v>
      </c>
      <c r="P4" s="18">
        <v>2008</v>
      </c>
      <c r="Q4" s="18">
        <v>2007</v>
      </c>
    </row>
    <row r="5" spans="1:24" x14ac:dyDescent="0.25">
      <c r="A5" s="8" t="s">
        <v>5</v>
      </c>
      <c r="B5" s="26"/>
      <c r="C5" s="11"/>
      <c r="D5" s="11"/>
      <c r="E5" s="11"/>
      <c r="F5" s="11"/>
      <c r="G5" s="11"/>
      <c r="H5" s="11"/>
      <c r="I5" s="11"/>
      <c r="J5" s="11"/>
      <c r="K5" s="11"/>
      <c r="L5" s="11"/>
      <c r="M5" s="11"/>
      <c r="N5" s="11"/>
      <c r="O5" s="11"/>
      <c r="P5" s="11"/>
      <c r="Q5" s="11"/>
    </row>
    <row r="6" spans="1:24" x14ac:dyDescent="0.25">
      <c r="A6" s="8" t="s">
        <v>58</v>
      </c>
      <c r="B6" s="46">
        <v>841.3</v>
      </c>
      <c r="C6" s="46">
        <v>925</v>
      </c>
      <c r="D6" s="46">
        <v>859.1</v>
      </c>
      <c r="E6" s="46">
        <v>790.9</v>
      </c>
      <c r="F6" s="46">
        <v>751.9</v>
      </c>
      <c r="G6" s="46">
        <v>578.6</v>
      </c>
      <c r="H6" s="46">
        <v>499.4</v>
      </c>
      <c r="I6" s="46">
        <v>516.36099999999999</v>
      </c>
      <c r="J6" s="46">
        <v>494.15</v>
      </c>
      <c r="K6" s="46">
        <v>448.63600000000002</v>
      </c>
      <c r="L6" s="46">
        <v>420.536</v>
      </c>
      <c r="M6" s="46">
        <v>357.92899999999997</v>
      </c>
      <c r="N6" s="46">
        <v>265.35599999999999</v>
      </c>
      <c r="O6" s="46">
        <v>184.357</v>
      </c>
      <c r="P6" s="46">
        <v>279.70499999999998</v>
      </c>
      <c r="Q6" s="46">
        <v>232.62200000000001</v>
      </c>
    </row>
    <row r="7" spans="1:24" x14ac:dyDescent="0.25">
      <c r="A7" s="3" t="s">
        <v>133</v>
      </c>
      <c r="B7" s="38"/>
      <c r="C7" s="38"/>
      <c r="D7" s="38"/>
      <c r="E7" s="38"/>
      <c r="F7" s="38"/>
      <c r="G7" s="38"/>
      <c r="H7" s="38"/>
      <c r="I7" s="38"/>
      <c r="J7" s="38"/>
      <c r="K7" s="38"/>
      <c r="L7" s="38"/>
      <c r="M7" s="38"/>
      <c r="N7" s="38"/>
      <c r="O7" s="38"/>
      <c r="P7" s="38"/>
      <c r="Q7" s="38"/>
    </row>
    <row r="8" spans="1:24" x14ac:dyDescent="0.25">
      <c r="A8" s="3" t="s">
        <v>128</v>
      </c>
      <c r="B8" s="38">
        <v>123.8</v>
      </c>
      <c r="C8" s="38">
        <v>159.9</v>
      </c>
      <c r="D8" s="38">
        <v>153.30000000000001</v>
      </c>
      <c r="E8" s="38">
        <v>144.6</v>
      </c>
      <c r="F8" s="38">
        <v>134.1</v>
      </c>
      <c r="G8" s="38">
        <v>123.6</v>
      </c>
      <c r="H8" s="38">
        <v>103.5</v>
      </c>
      <c r="I8" s="38">
        <v>86.070999999999998</v>
      </c>
      <c r="J8" s="38">
        <v>72.144999999999996</v>
      </c>
      <c r="K8" s="38">
        <v>63.77</v>
      </c>
      <c r="L8" s="38">
        <v>53.459000000000003</v>
      </c>
      <c r="M8" s="38">
        <v>44.113</v>
      </c>
      <c r="N8" s="38">
        <v>40.688000000000002</v>
      </c>
      <c r="O8" s="38">
        <v>40.020000000000003</v>
      </c>
      <c r="P8" s="38">
        <v>39.201000000000001</v>
      </c>
      <c r="Q8" s="38">
        <v>37.332000000000001</v>
      </c>
    </row>
    <row r="9" spans="1:24" x14ac:dyDescent="0.25">
      <c r="A9" s="3" t="s">
        <v>131</v>
      </c>
      <c r="B9" s="38">
        <v>1.2</v>
      </c>
      <c r="C9" s="38">
        <v>-1.1000000000000001</v>
      </c>
      <c r="D9" s="38">
        <v>-1.4</v>
      </c>
      <c r="E9" s="38">
        <v>-1.2</v>
      </c>
      <c r="F9" s="38">
        <v>-0.5</v>
      </c>
      <c r="G9" s="38">
        <v>-1</v>
      </c>
      <c r="H9" s="38">
        <v>-0.5</v>
      </c>
      <c r="I9" s="38">
        <v>-1.411</v>
      </c>
      <c r="J9" s="38">
        <v>-0.96399999999999997</v>
      </c>
      <c r="K9" s="38">
        <v>-0.64300000000000002</v>
      </c>
      <c r="L9" s="38">
        <v>-0.40300000000000002</v>
      </c>
      <c r="M9" s="38">
        <v>0.19400000000000001</v>
      </c>
      <c r="N9" s="38">
        <v>3.5000000000000003E-2</v>
      </c>
      <c r="O9" s="38">
        <v>0.85</v>
      </c>
      <c r="P9" s="38">
        <v>0.16700000000000001</v>
      </c>
      <c r="Q9" s="38">
        <v>-9.9000000000000005E-2</v>
      </c>
    </row>
    <row r="10" spans="1:24" x14ac:dyDescent="0.25">
      <c r="A10" s="3" t="s">
        <v>59</v>
      </c>
      <c r="B10" s="38">
        <v>-0.9</v>
      </c>
      <c r="C10" s="38">
        <v>2.5</v>
      </c>
      <c r="D10" s="38">
        <v>7.5</v>
      </c>
      <c r="E10" s="38">
        <v>5.5</v>
      </c>
      <c r="F10" s="38">
        <v>8.1</v>
      </c>
      <c r="G10" s="38">
        <v>8.1999999999999993</v>
      </c>
      <c r="H10" s="38">
        <v>8.6</v>
      </c>
      <c r="I10" s="38">
        <v>8.7690000000000001</v>
      </c>
      <c r="J10" s="38">
        <v>11.48</v>
      </c>
      <c r="K10" s="38">
        <v>9.4209999999999994</v>
      </c>
      <c r="L10" s="38">
        <v>9.7260000000000009</v>
      </c>
      <c r="M10" s="38">
        <v>9.2170000000000005</v>
      </c>
      <c r="N10" s="38">
        <v>8.6579999999999995</v>
      </c>
      <c r="O10" s="38">
        <v>9.4090000000000007</v>
      </c>
      <c r="P10" s="38">
        <v>7.4980000000000002</v>
      </c>
      <c r="Q10" s="38">
        <v>5.343</v>
      </c>
    </row>
    <row r="11" spans="1:24" x14ac:dyDescent="0.25">
      <c r="A11" s="3" t="s">
        <v>60</v>
      </c>
      <c r="B11" s="38">
        <v>4.3</v>
      </c>
      <c r="C11" s="38">
        <v>-13.7</v>
      </c>
      <c r="D11" s="38">
        <v>2.9</v>
      </c>
      <c r="E11" s="38">
        <v>15</v>
      </c>
      <c r="F11" s="38">
        <v>33.799999999999997</v>
      </c>
      <c r="G11" s="38">
        <v>-30</v>
      </c>
      <c r="H11" s="38">
        <v>25.6</v>
      </c>
      <c r="I11" s="38">
        <v>8.2899999999999991</v>
      </c>
      <c r="J11" s="38">
        <v>1.76</v>
      </c>
      <c r="K11" s="38">
        <v>8.1289999999999996</v>
      </c>
      <c r="L11" s="38">
        <v>15.442</v>
      </c>
      <c r="M11" s="38">
        <v>15.747</v>
      </c>
      <c r="N11" s="38">
        <v>1.6020000000000001</v>
      </c>
      <c r="O11" s="38">
        <v>6.0990000000000002</v>
      </c>
      <c r="P11" s="38">
        <v>-2.419</v>
      </c>
      <c r="Q11" s="38">
        <v>-0.91100000000000003</v>
      </c>
    </row>
    <row r="12" spans="1:24" x14ac:dyDescent="0.25">
      <c r="A12" s="3" t="s">
        <v>61</v>
      </c>
      <c r="B12" s="38">
        <v>4.4000000000000004</v>
      </c>
      <c r="C12" s="38">
        <v>5.6</v>
      </c>
      <c r="D12" s="38">
        <v>5.7</v>
      </c>
      <c r="E12" s="38">
        <v>5.7</v>
      </c>
      <c r="F12" s="38">
        <v>5.0999999999999996</v>
      </c>
      <c r="G12" s="38">
        <v>5.2</v>
      </c>
      <c r="H12" s="38">
        <v>4.0999999999999996</v>
      </c>
      <c r="I12" s="38">
        <v>5.8410000000000002</v>
      </c>
      <c r="J12" s="38">
        <v>7.0389999999999997</v>
      </c>
      <c r="K12" s="38">
        <v>5.4</v>
      </c>
      <c r="L12" s="38">
        <v>4.8</v>
      </c>
      <c r="M12" s="38">
        <v>4.05</v>
      </c>
      <c r="N12" s="38">
        <v>4.03</v>
      </c>
      <c r="O12" s="38">
        <v>3.85</v>
      </c>
      <c r="P12" s="38">
        <v>3.2469999999999999</v>
      </c>
      <c r="Q12" s="38">
        <v>1.915</v>
      </c>
    </row>
    <row r="13" spans="1:24" x14ac:dyDescent="0.25">
      <c r="A13" s="3" t="s">
        <v>62</v>
      </c>
      <c r="B13" s="38">
        <v>0</v>
      </c>
      <c r="C13" s="38">
        <v>0</v>
      </c>
      <c r="D13" s="38">
        <v>0</v>
      </c>
      <c r="E13" s="38">
        <v>0</v>
      </c>
      <c r="F13" s="38">
        <v>0</v>
      </c>
      <c r="G13" s="38">
        <v>0</v>
      </c>
      <c r="H13" s="38">
        <v>0</v>
      </c>
      <c r="I13" s="38">
        <v>0</v>
      </c>
      <c r="J13" s="38">
        <v>-2.0939999999999999</v>
      </c>
      <c r="K13" s="38">
        <v>-2.7869999999999999</v>
      </c>
      <c r="L13" s="38">
        <v>-10.148999999999999</v>
      </c>
      <c r="M13" s="38">
        <v>0</v>
      </c>
      <c r="N13" s="38">
        <v>0</v>
      </c>
      <c r="O13" s="38">
        <v>0</v>
      </c>
      <c r="P13" s="38">
        <v>0</v>
      </c>
      <c r="Q13" s="38">
        <v>0</v>
      </c>
    </row>
    <row r="14" spans="1:24" x14ac:dyDescent="0.25">
      <c r="A14" s="3" t="s">
        <v>127</v>
      </c>
      <c r="B14" s="38">
        <v>8.1</v>
      </c>
      <c r="C14" s="38">
        <v>10.8</v>
      </c>
      <c r="D14" s="38">
        <v>9.1</v>
      </c>
      <c r="E14" s="38">
        <v>4.0999999999999996</v>
      </c>
      <c r="F14" s="38">
        <v>4.0999999999999996</v>
      </c>
      <c r="G14" s="38">
        <v>3.8</v>
      </c>
      <c r="H14" s="38">
        <v>0.5</v>
      </c>
      <c r="I14" s="38">
        <v>0.52700000000000002</v>
      </c>
      <c r="J14" s="38">
        <v>0.52700000000000002</v>
      </c>
      <c r="K14" s="38">
        <v>0.42099999999999999</v>
      </c>
      <c r="L14" s="38">
        <v>0.59299999999999997</v>
      </c>
      <c r="M14" s="38">
        <v>0.59299999999999997</v>
      </c>
      <c r="N14" s="38">
        <v>6.7000000000000004E-2</v>
      </c>
      <c r="O14" s="38">
        <v>6.7000000000000004E-2</v>
      </c>
      <c r="P14" s="38">
        <v>6.7000000000000004E-2</v>
      </c>
      <c r="Q14" s="38">
        <v>6.7000000000000004E-2</v>
      </c>
    </row>
    <row r="15" spans="1:24" x14ac:dyDescent="0.25">
      <c r="A15" s="3" t="s">
        <v>129</v>
      </c>
      <c r="B15" s="38"/>
      <c r="C15" s="38"/>
      <c r="D15" s="38"/>
      <c r="E15" s="38"/>
      <c r="F15" s="38"/>
      <c r="G15" s="38"/>
      <c r="H15" s="38"/>
      <c r="I15" s="38"/>
      <c r="J15" s="38"/>
      <c r="K15" s="38"/>
      <c r="L15" s="38"/>
      <c r="M15" s="38"/>
      <c r="N15" s="38"/>
      <c r="O15" s="38"/>
      <c r="P15" s="38"/>
      <c r="Q15" s="38"/>
    </row>
    <row r="16" spans="1:24" x14ac:dyDescent="0.25">
      <c r="A16" s="3" t="s">
        <v>63</v>
      </c>
      <c r="B16" s="38">
        <v>-222.9</v>
      </c>
      <c r="C16" s="38">
        <v>-135.19999999999999</v>
      </c>
      <c r="D16" s="38">
        <v>-29.7</v>
      </c>
      <c r="E16" s="38">
        <v>-30.4</v>
      </c>
      <c r="F16" s="38">
        <v>-120.3</v>
      </c>
      <c r="G16" s="38">
        <v>-103.7</v>
      </c>
      <c r="H16" s="38">
        <v>-40.5</v>
      </c>
      <c r="I16" s="38">
        <v>-20.608000000000001</v>
      </c>
      <c r="J16" s="38">
        <v>-63.417999999999999</v>
      </c>
      <c r="K16" s="38">
        <v>-51.593000000000004</v>
      </c>
      <c r="L16" s="38">
        <v>-43.290999999999997</v>
      </c>
      <c r="M16" s="38">
        <v>-77.677999999999997</v>
      </c>
      <c r="N16" s="38">
        <v>-64.622</v>
      </c>
      <c r="O16" s="38">
        <v>21.361999999999998</v>
      </c>
      <c r="P16" s="38">
        <v>-16.106999999999999</v>
      </c>
      <c r="Q16" s="38">
        <v>-32.142000000000003</v>
      </c>
    </row>
    <row r="17" spans="1:17" x14ac:dyDescent="0.25">
      <c r="A17" s="3" t="s">
        <v>64</v>
      </c>
      <c r="B17" s="38">
        <v>-176.9</v>
      </c>
      <c r="C17" s="38">
        <v>-189.5</v>
      </c>
      <c r="D17" s="38">
        <v>36</v>
      </c>
      <c r="E17" s="38">
        <v>-84.4</v>
      </c>
      <c r="F17" s="38">
        <v>-193.3</v>
      </c>
      <c r="G17" s="38">
        <v>-76.3</v>
      </c>
      <c r="H17" s="38">
        <v>-80.900000000000006</v>
      </c>
      <c r="I17" s="38">
        <v>-47.83</v>
      </c>
      <c r="J17" s="38">
        <v>-87.622</v>
      </c>
      <c r="K17" s="38">
        <v>-68.685000000000002</v>
      </c>
      <c r="L17" s="38">
        <v>-69.230999999999995</v>
      </c>
      <c r="M17" s="38">
        <v>-88.783000000000001</v>
      </c>
      <c r="N17" s="38">
        <v>-48.963999999999999</v>
      </c>
      <c r="O17" s="38">
        <v>60.424999999999997</v>
      </c>
      <c r="P17" s="38">
        <v>-59.655000000000001</v>
      </c>
      <c r="Q17" s="38">
        <v>-48.594999999999999</v>
      </c>
    </row>
    <row r="18" spans="1:17" x14ac:dyDescent="0.25">
      <c r="A18" s="3" t="s">
        <v>65</v>
      </c>
      <c r="B18" s="38">
        <v>15.9</v>
      </c>
      <c r="C18" s="38">
        <v>-47.8</v>
      </c>
      <c r="D18" s="38">
        <v>17.100000000000001</v>
      </c>
      <c r="E18" s="38">
        <v>-10.4</v>
      </c>
      <c r="F18" s="38">
        <v>-28.9</v>
      </c>
      <c r="G18" s="38">
        <v>-15.6</v>
      </c>
      <c r="H18" s="38">
        <v>29.1</v>
      </c>
      <c r="I18" s="38">
        <v>-15.778</v>
      </c>
      <c r="J18" s="38">
        <v>-7.51</v>
      </c>
      <c r="K18" s="38">
        <v>-10.627000000000001</v>
      </c>
      <c r="L18" s="38">
        <v>-7.5279999999999996</v>
      </c>
      <c r="M18" s="38">
        <v>-19.294</v>
      </c>
      <c r="N18" s="38">
        <v>-24.577000000000002</v>
      </c>
      <c r="O18" s="38">
        <v>17.747</v>
      </c>
      <c r="P18" s="38">
        <v>4.2030000000000003</v>
      </c>
      <c r="Q18" s="38">
        <v>-7.41</v>
      </c>
    </row>
    <row r="19" spans="1:17" x14ac:dyDescent="0.25">
      <c r="A19" s="3" t="s">
        <v>66</v>
      </c>
      <c r="B19" s="38">
        <v>44.1</v>
      </c>
      <c r="C19" s="38">
        <v>26.1</v>
      </c>
      <c r="D19" s="38">
        <v>14.2</v>
      </c>
      <c r="E19" s="38">
        <v>-0.8</v>
      </c>
      <c r="F19" s="38">
        <v>46.1</v>
      </c>
      <c r="G19" s="38">
        <v>36.299999999999997</v>
      </c>
      <c r="H19" s="38">
        <v>-17.2</v>
      </c>
      <c r="I19" s="38">
        <v>20.617000000000001</v>
      </c>
      <c r="J19" s="38">
        <v>12.500999999999999</v>
      </c>
      <c r="K19" s="38">
        <v>13.234</v>
      </c>
      <c r="L19" s="38">
        <v>4.24</v>
      </c>
      <c r="M19" s="38">
        <v>13.305</v>
      </c>
      <c r="N19" s="38">
        <v>6.984</v>
      </c>
      <c r="O19" s="38">
        <v>-14.172000000000001</v>
      </c>
      <c r="P19" s="38">
        <v>8.5960000000000001</v>
      </c>
      <c r="Q19" s="38">
        <v>13.981999999999999</v>
      </c>
    </row>
    <row r="20" spans="1:17" x14ac:dyDescent="0.25">
      <c r="A20" s="3" t="s">
        <v>67</v>
      </c>
      <c r="B20" s="38">
        <v>-15.9</v>
      </c>
      <c r="C20" s="38">
        <v>26.2</v>
      </c>
      <c r="D20" s="38">
        <v>20.6</v>
      </c>
      <c r="E20" s="38">
        <v>10.7</v>
      </c>
      <c r="F20" s="38">
        <v>46.8</v>
      </c>
      <c r="G20" s="38">
        <v>37.6</v>
      </c>
      <c r="H20" s="38">
        <v>-28.6</v>
      </c>
      <c r="I20" s="38">
        <v>11.141</v>
      </c>
      <c r="J20" s="38">
        <v>25.263000000000002</v>
      </c>
      <c r="K20" s="38">
        <v>22.423999999999999</v>
      </c>
      <c r="L20" s="38">
        <v>14.193</v>
      </c>
      <c r="M20" s="38">
        <v>15.55</v>
      </c>
      <c r="N20" s="38">
        <v>30.393000000000001</v>
      </c>
      <c r="O20" s="38">
        <v>-17.526</v>
      </c>
      <c r="P20" s="38">
        <v>7.98</v>
      </c>
      <c r="Q20" s="38">
        <v>14.021000000000001</v>
      </c>
    </row>
    <row r="21" spans="1:17" x14ac:dyDescent="0.25">
      <c r="A21" s="3" t="s">
        <v>68</v>
      </c>
      <c r="B21" s="38">
        <v>5.3</v>
      </c>
      <c r="C21" s="38">
        <v>-1.8</v>
      </c>
      <c r="D21" s="38">
        <v>10</v>
      </c>
      <c r="E21" s="38">
        <v>-7.7</v>
      </c>
      <c r="F21" s="38">
        <v>-15.5</v>
      </c>
      <c r="G21" s="38">
        <v>19.399999999999999</v>
      </c>
      <c r="H21" s="38">
        <v>15.5</v>
      </c>
      <c r="I21" s="38">
        <v>-26.61</v>
      </c>
      <c r="J21" s="38">
        <v>34.405000000000001</v>
      </c>
      <c r="K21" s="38">
        <v>-14.714</v>
      </c>
      <c r="L21" s="38">
        <v>0.70399999999999996</v>
      </c>
      <c r="M21" s="38">
        <v>-3.222</v>
      </c>
      <c r="N21" s="38">
        <v>16.956</v>
      </c>
      <c r="O21" s="38">
        <v>-12.156000000000001</v>
      </c>
      <c r="P21" s="38">
        <v>-6.3739999999999997</v>
      </c>
      <c r="Q21" s="38">
        <v>5.8920000000000003</v>
      </c>
    </row>
    <row r="22" spans="1:17" x14ac:dyDescent="0.25">
      <c r="A22" s="3" t="s">
        <v>65</v>
      </c>
      <c r="B22" s="38">
        <v>7.3</v>
      </c>
      <c r="C22" s="38">
        <v>3.1</v>
      </c>
      <c r="D22" s="38">
        <v>-2.6</v>
      </c>
      <c r="E22" s="38">
        <v>1.1000000000000001</v>
      </c>
      <c r="F22" s="38">
        <v>2.7</v>
      </c>
      <c r="G22" s="38">
        <v>-0.9</v>
      </c>
      <c r="H22" s="38">
        <v>1.3</v>
      </c>
      <c r="I22" s="38">
        <v>4.95</v>
      </c>
      <c r="J22" s="38">
        <v>1.73</v>
      </c>
      <c r="K22" s="38">
        <v>-6.266</v>
      </c>
      <c r="L22" s="38">
        <v>3.2010000000000001</v>
      </c>
      <c r="M22" s="38">
        <v>-3.2320000000000002</v>
      </c>
      <c r="N22" s="38">
        <v>3.8820000000000001</v>
      </c>
      <c r="O22" s="38">
        <v>5.7380000000000004</v>
      </c>
      <c r="P22" s="38">
        <v>-6.2110000000000003</v>
      </c>
      <c r="Q22" s="38">
        <v>5.8780000000000001</v>
      </c>
    </row>
    <row r="23" spans="1:17" x14ac:dyDescent="0.25">
      <c r="A23" s="8" t="s">
        <v>34</v>
      </c>
      <c r="B23" s="37">
        <f t="shared" ref="B23:H23" si="0">SUM(B6:B22)</f>
        <v>639.09999999999991</v>
      </c>
      <c r="C23" s="37">
        <f t="shared" si="0"/>
        <v>770.10000000000014</v>
      </c>
      <c r="D23" s="37">
        <f t="shared" si="0"/>
        <v>1101.8</v>
      </c>
      <c r="E23" s="37">
        <f t="shared" si="0"/>
        <v>842.70000000000016</v>
      </c>
      <c r="F23" s="37">
        <f t="shared" si="0"/>
        <v>674.2</v>
      </c>
      <c r="G23" s="37">
        <f t="shared" si="0"/>
        <v>585.20000000000005</v>
      </c>
      <c r="H23" s="37">
        <f t="shared" si="0"/>
        <v>519.9</v>
      </c>
      <c r="I23" s="37">
        <f t="shared" ref="I23:Q23" si="1">SUM(I6:I22)</f>
        <v>550.33000000000004</v>
      </c>
      <c r="J23" s="37">
        <f t="shared" si="1"/>
        <v>499.39199999999983</v>
      </c>
      <c r="K23" s="37">
        <f t="shared" si="1"/>
        <v>416.12</v>
      </c>
      <c r="L23" s="37">
        <f t="shared" si="1"/>
        <v>396.29200000000003</v>
      </c>
      <c r="M23" s="37">
        <f t="shared" si="1"/>
        <v>268.48899999999998</v>
      </c>
      <c r="N23" s="37">
        <f t="shared" si="1"/>
        <v>240.48799999999997</v>
      </c>
      <c r="O23" s="37">
        <f t="shared" si="1"/>
        <v>306.07</v>
      </c>
      <c r="P23" s="37">
        <f t="shared" si="1"/>
        <v>259.89800000000002</v>
      </c>
      <c r="Q23" s="37">
        <f t="shared" si="1"/>
        <v>227.89500000000004</v>
      </c>
    </row>
    <row r="24" spans="1:17" x14ac:dyDescent="0.25">
      <c r="A24" s="8" t="s">
        <v>69</v>
      </c>
      <c r="B24" s="38"/>
      <c r="C24" s="38"/>
      <c r="D24" s="38"/>
      <c r="E24" s="38"/>
      <c r="F24" s="38"/>
      <c r="G24" s="38"/>
      <c r="H24" s="38"/>
      <c r="I24" s="38"/>
      <c r="J24" s="38"/>
      <c r="K24" s="38"/>
      <c r="L24" s="38"/>
      <c r="M24" s="38"/>
      <c r="N24" s="38"/>
      <c r="O24" s="38"/>
      <c r="P24" s="38"/>
      <c r="Q24" s="38"/>
    </row>
    <row r="25" spans="1:17" x14ac:dyDescent="0.25">
      <c r="A25" s="3" t="s">
        <v>75</v>
      </c>
      <c r="B25" s="38">
        <v>-131</v>
      </c>
      <c r="C25" s="38">
        <v>-156.6</v>
      </c>
      <c r="D25" s="38">
        <v>-168.1</v>
      </c>
      <c r="E25" s="38">
        <v>-246.4</v>
      </c>
      <c r="F25" s="38">
        <v>-176.3</v>
      </c>
      <c r="G25" s="38">
        <v>-119.9</v>
      </c>
      <c r="H25" s="38">
        <v>-189.5</v>
      </c>
      <c r="I25" s="38">
        <v>-155.16800000000001</v>
      </c>
      <c r="J25" s="38">
        <v>-189.47399999999999</v>
      </c>
      <c r="K25" s="38">
        <v>-206.54</v>
      </c>
      <c r="L25" s="38">
        <v>-138.40600000000001</v>
      </c>
      <c r="M25" s="38">
        <v>-120.04300000000001</v>
      </c>
      <c r="N25" s="38">
        <v>-73.596999999999994</v>
      </c>
      <c r="O25" s="38">
        <v>-52.537999999999997</v>
      </c>
      <c r="P25" s="38">
        <v>-95.305999999999997</v>
      </c>
      <c r="Q25" s="38">
        <v>-55.759</v>
      </c>
    </row>
    <row r="26" spans="1:17" x14ac:dyDescent="0.25">
      <c r="A26" s="3" t="s">
        <v>76</v>
      </c>
      <c r="B26" s="38">
        <v>0</v>
      </c>
      <c r="C26" s="38">
        <v>0</v>
      </c>
      <c r="D26" s="38">
        <v>-125</v>
      </c>
      <c r="E26" s="38">
        <v>0</v>
      </c>
      <c r="F26" s="38">
        <v>-3.7</v>
      </c>
      <c r="G26" s="38">
        <v>-58.7</v>
      </c>
      <c r="H26" s="38">
        <v>0</v>
      </c>
      <c r="I26" s="38">
        <v>-23.492999999999999</v>
      </c>
      <c r="J26" s="38">
        <v>-5.5750000000000002</v>
      </c>
      <c r="K26" s="38">
        <v>0</v>
      </c>
      <c r="L26" s="38">
        <v>0</v>
      </c>
      <c r="M26" s="38">
        <v>0</v>
      </c>
      <c r="N26" s="38">
        <v>0</v>
      </c>
      <c r="O26" s="38">
        <v>-5.032</v>
      </c>
      <c r="P26" s="38">
        <v>0</v>
      </c>
      <c r="Q26" s="38">
        <v>0</v>
      </c>
    </row>
    <row r="27" spans="1:17" x14ac:dyDescent="0.25">
      <c r="A27" s="3" t="s">
        <v>77</v>
      </c>
      <c r="B27" s="38">
        <v>10.1</v>
      </c>
      <c r="C27" s="38">
        <v>8.4</v>
      </c>
      <c r="D27" s="38">
        <v>10.6</v>
      </c>
      <c r="E27" s="38">
        <v>6.6</v>
      </c>
      <c r="F27" s="38">
        <v>9.5</v>
      </c>
      <c r="G27" s="38">
        <v>7.4</v>
      </c>
      <c r="H27" s="38">
        <v>6.5</v>
      </c>
      <c r="I27" s="38">
        <v>9.9410000000000007</v>
      </c>
      <c r="J27" s="38">
        <v>5.819</v>
      </c>
      <c r="K27" s="38">
        <v>4.99</v>
      </c>
      <c r="L27" s="38">
        <v>4.524</v>
      </c>
      <c r="M27" s="38">
        <v>3.5539999999999998</v>
      </c>
      <c r="N27" s="38">
        <v>4.4589999999999996</v>
      </c>
      <c r="O27" s="38">
        <v>4.8630000000000004</v>
      </c>
      <c r="P27" s="38">
        <v>8.3829999999999991</v>
      </c>
      <c r="Q27" s="38">
        <v>5.9290000000000003</v>
      </c>
    </row>
    <row r="28" spans="1:17" x14ac:dyDescent="0.25">
      <c r="A28" s="3" t="s">
        <v>78</v>
      </c>
      <c r="B28" s="38">
        <v>0</v>
      </c>
      <c r="C28" s="38">
        <v>0</v>
      </c>
      <c r="D28" s="38">
        <v>0</v>
      </c>
      <c r="E28" s="38">
        <v>0</v>
      </c>
      <c r="F28" s="38">
        <v>0</v>
      </c>
      <c r="G28" s="38">
        <v>0</v>
      </c>
      <c r="H28" s="38">
        <v>0</v>
      </c>
      <c r="I28" s="38">
        <v>0</v>
      </c>
      <c r="J28" s="38">
        <v>0.45100000000000001</v>
      </c>
      <c r="K28" s="38">
        <v>-9.7000000000000003E-2</v>
      </c>
      <c r="L28" s="38">
        <v>26.811</v>
      </c>
      <c r="M28" s="38">
        <v>4.0540000000000003</v>
      </c>
      <c r="N28" s="38">
        <v>-0.58099999999999996</v>
      </c>
      <c r="O28" s="38">
        <v>-28.940999999999999</v>
      </c>
      <c r="P28" s="38">
        <v>0.41199999999999998</v>
      </c>
      <c r="Q28" s="38">
        <v>12.420999999999999</v>
      </c>
    </row>
    <row r="29" spans="1:17" x14ac:dyDescent="0.25">
      <c r="A29" s="3" t="s">
        <v>25</v>
      </c>
      <c r="B29" s="38">
        <v>-0.7</v>
      </c>
      <c r="C29" s="38">
        <v>-0.3</v>
      </c>
      <c r="D29" s="38">
        <v>0.8</v>
      </c>
      <c r="E29" s="38">
        <v>0.1</v>
      </c>
      <c r="F29" s="38">
        <v>-3.4</v>
      </c>
      <c r="G29" s="38">
        <v>-8.1</v>
      </c>
      <c r="H29" s="38">
        <v>-5.0999999999999996</v>
      </c>
      <c r="I29" s="38">
        <v>-11.907</v>
      </c>
      <c r="J29" s="38">
        <v>-2E-3</v>
      </c>
      <c r="K29" s="38">
        <v>-0.14499999999999999</v>
      </c>
      <c r="L29" s="38">
        <v>-0.13300000000000001</v>
      </c>
      <c r="M29" s="38">
        <v>0.21199999999999999</v>
      </c>
      <c r="N29" s="38">
        <v>-10.329000000000001</v>
      </c>
      <c r="O29" s="38">
        <v>-0.10100000000000001</v>
      </c>
      <c r="P29" s="38">
        <v>-7.1999999999999995E-2</v>
      </c>
      <c r="Q29" s="38">
        <v>-0.26500000000000001</v>
      </c>
    </row>
    <row r="30" spans="1:17" x14ac:dyDescent="0.25">
      <c r="A30" s="8" t="s">
        <v>35</v>
      </c>
      <c r="B30" s="37">
        <f t="shared" ref="B30:H30" si="2">SUM(B25:B29)</f>
        <v>-121.60000000000001</v>
      </c>
      <c r="C30" s="37">
        <f t="shared" si="2"/>
        <v>-148.5</v>
      </c>
      <c r="D30" s="37">
        <f t="shared" si="2"/>
        <v>-281.7</v>
      </c>
      <c r="E30" s="37">
        <f t="shared" si="2"/>
        <v>-239.70000000000002</v>
      </c>
      <c r="F30" s="37">
        <f t="shared" si="2"/>
        <v>-173.9</v>
      </c>
      <c r="G30" s="37">
        <f t="shared" si="2"/>
        <v>-179.3</v>
      </c>
      <c r="H30" s="37">
        <f t="shared" si="2"/>
        <v>-188.1</v>
      </c>
      <c r="I30" s="37">
        <f t="shared" ref="I30:Q30" si="3">SUM(I25:I29)</f>
        <v>-180.62700000000001</v>
      </c>
      <c r="J30" s="37">
        <f t="shared" si="3"/>
        <v>-188.78100000000001</v>
      </c>
      <c r="K30" s="37">
        <f t="shared" si="3"/>
        <v>-201.792</v>
      </c>
      <c r="L30" s="37">
        <f t="shared" si="3"/>
        <v>-107.20399999999999</v>
      </c>
      <c r="M30" s="37">
        <f t="shared" si="3"/>
        <v>-112.223</v>
      </c>
      <c r="N30" s="37">
        <f t="shared" si="3"/>
        <v>-80.048000000000002</v>
      </c>
      <c r="O30" s="37">
        <f t="shared" si="3"/>
        <v>-81.748999999999995</v>
      </c>
      <c r="P30" s="37">
        <f t="shared" si="3"/>
        <v>-86.582999999999998</v>
      </c>
      <c r="Q30" s="37">
        <f t="shared" si="3"/>
        <v>-37.673999999999999</v>
      </c>
    </row>
    <row r="31" spans="1:17" x14ac:dyDescent="0.25">
      <c r="A31" s="8" t="s">
        <v>74</v>
      </c>
      <c r="B31" s="38"/>
      <c r="C31" s="38"/>
      <c r="D31" s="38"/>
      <c r="E31" s="38"/>
      <c r="F31" s="38"/>
      <c r="G31" s="38"/>
      <c r="H31" s="38"/>
      <c r="I31" s="38"/>
      <c r="J31" s="38"/>
      <c r="K31" s="38"/>
      <c r="L31" s="38"/>
      <c r="M31" s="38"/>
      <c r="N31" s="38"/>
      <c r="O31" s="38"/>
      <c r="P31" s="38"/>
      <c r="Q31" s="38"/>
    </row>
    <row r="32" spans="1:17" x14ac:dyDescent="0.25">
      <c r="A32" s="3" t="s">
        <v>130</v>
      </c>
      <c r="B32" s="38">
        <v>1390</v>
      </c>
      <c r="C32" s="38">
        <v>525</v>
      </c>
      <c r="D32" s="38">
        <v>1000</v>
      </c>
      <c r="E32" s="38">
        <v>910</v>
      </c>
      <c r="F32" s="38">
        <v>980</v>
      </c>
      <c r="G32" s="38">
        <v>1015</v>
      </c>
      <c r="H32" s="38">
        <v>950</v>
      </c>
      <c r="I32" s="38">
        <v>1215</v>
      </c>
      <c r="J32" s="38">
        <v>705</v>
      </c>
      <c r="K32" s="38">
        <v>260</v>
      </c>
      <c r="L32" s="38">
        <v>0</v>
      </c>
      <c r="M32" s="38">
        <v>0</v>
      </c>
      <c r="N32" s="38">
        <v>0</v>
      </c>
      <c r="O32" s="38">
        <v>0</v>
      </c>
      <c r="P32" s="38">
        <v>0</v>
      </c>
      <c r="Q32" s="38">
        <v>0</v>
      </c>
    </row>
    <row r="33" spans="1:18" x14ac:dyDescent="0.25">
      <c r="A33" s="3" t="s">
        <v>70</v>
      </c>
      <c r="B33" s="38">
        <v>-1225</v>
      </c>
      <c r="C33" s="38">
        <v>-540</v>
      </c>
      <c r="D33" s="38">
        <v>-940</v>
      </c>
      <c r="E33" s="38">
        <v>-1065</v>
      </c>
      <c r="F33" s="38">
        <v>-895</v>
      </c>
      <c r="G33" s="38">
        <v>-980</v>
      </c>
      <c r="H33" s="38">
        <v>-920</v>
      </c>
      <c r="I33" s="38">
        <v>-955</v>
      </c>
      <c r="J33" s="38">
        <v>-615</v>
      </c>
      <c r="K33" s="38">
        <v>-260</v>
      </c>
      <c r="L33" s="38">
        <v>0</v>
      </c>
      <c r="M33" s="38">
        <v>0</v>
      </c>
      <c r="N33" s="38">
        <v>0</v>
      </c>
      <c r="O33" s="38">
        <v>0</v>
      </c>
      <c r="P33" s="38">
        <v>0</v>
      </c>
      <c r="Q33" s="38">
        <v>0</v>
      </c>
    </row>
    <row r="34" spans="1:18" x14ac:dyDescent="0.25">
      <c r="A34" s="3" t="s">
        <v>71</v>
      </c>
      <c r="B34" s="38">
        <v>7.8</v>
      </c>
      <c r="C34" s="38">
        <v>31.6</v>
      </c>
      <c r="D34" s="38">
        <v>41</v>
      </c>
      <c r="E34" s="38">
        <v>58.5</v>
      </c>
      <c r="F34" s="38">
        <v>13.4</v>
      </c>
      <c r="G34" s="38">
        <v>9.5</v>
      </c>
      <c r="H34" s="38">
        <v>29.3</v>
      </c>
      <c r="I34" s="38">
        <v>19.099</v>
      </c>
      <c r="J34" s="38">
        <v>7.6970000000000001</v>
      </c>
      <c r="K34" s="38">
        <v>9.3059999999999992</v>
      </c>
      <c r="L34" s="38">
        <v>29.643999999999998</v>
      </c>
      <c r="M34" s="38">
        <v>8.9390000000000001</v>
      </c>
      <c r="N34" s="38">
        <v>0</v>
      </c>
      <c r="O34" s="38">
        <v>0</v>
      </c>
      <c r="P34" s="38">
        <v>0</v>
      </c>
      <c r="Q34" s="38">
        <v>0</v>
      </c>
    </row>
    <row r="35" spans="1:18" x14ac:dyDescent="0.25">
      <c r="A35" s="3" t="s">
        <v>32</v>
      </c>
      <c r="B35" s="38">
        <v>0</v>
      </c>
      <c r="C35" s="38">
        <v>0</v>
      </c>
      <c r="D35" s="38">
        <v>0</v>
      </c>
      <c r="E35" s="38">
        <v>0</v>
      </c>
      <c r="F35" s="38">
        <v>0</v>
      </c>
      <c r="G35" s="38">
        <v>0</v>
      </c>
      <c r="H35" s="38">
        <v>0</v>
      </c>
      <c r="I35" s="38">
        <v>0</v>
      </c>
      <c r="J35" s="38">
        <v>2.0939999999999999</v>
      </c>
      <c r="K35" s="38">
        <v>2.7869999999999999</v>
      </c>
      <c r="L35" s="38">
        <v>10.148999999999999</v>
      </c>
      <c r="M35" s="38">
        <v>0.98299999999999998</v>
      </c>
      <c r="N35" s="38">
        <v>0</v>
      </c>
      <c r="O35" s="38">
        <v>0</v>
      </c>
      <c r="P35" s="38">
        <v>0</v>
      </c>
      <c r="Q35" s="38">
        <v>0</v>
      </c>
    </row>
    <row r="36" spans="1:18" x14ac:dyDescent="0.25">
      <c r="A36" s="3" t="s">
        <v>72</v>
      </c>
      <c r="B36" s="38">
        <v>-144.6</v>
      </c>
      <c r="C36" s="38">
        <v>0</v>
      </c>
      <c r="D36" s="38">
        <v>-52</v>
      </c>
      <c r="E36" s="38">
        <v>0</v>
      </c>
      <c r="F36" s="38">
        <v>-103</v>
      </c>
      <c r="G36" s="38">
        <v>-82.6</v>
      </c>
      <c r="H36" s="38">
        <v>-59.5</v>
      </c>
      <c r="I36" s="38">
        <v>-292.95100000000002</v>
      </c>
      <c r="J36" s="38">
        <v>-52.942</v>
      </c>
      <c r="K36" s="38">
        <v>-9.08</v>
      </c>
      <c r="L36" s="38">
        <v>0</v>
      </c>
      <c r="M36" s="38">
        <v>0</v>
      </c>
      <c r="N36" s="38">
        <v>0</v>
      </c>
      <c r="O36" s="38">
        <v>-41.103999999999999</v>
      </c>
      <c r="P36" s="38">
        <v>-25.957999999999998</v>
      </c>
      <c r="Q36" s="38">
        <v>-87.311999999999998</v>
      </c>
    </row>
    <row r="37" spans="1:18" x14ac:dyDescent="0.25">
      <c r="A37" s="3" t="s">
        <v>73</v>
      </c>
      <c r="B37" s="38">
        <v>-534.4</v>
      </c>
      <c r="C37" s="38">
        <v>-643.70000000000005</v>
      </c>
      <c r="D37" s="38">
        <v>-803.4</v>
      </c>
      <c r="E37" s="38">
        <v>-498.6</v>
      </c>
      <c r="F37" s="38">
        <v>-441.9</v>
      </c>
      <c r="G37" s="38">
        <v>-369.1</v>
      </c>
      <c r="H37" s="38">
        <v>-346.6</v>
      </c>
      <c r="I37" s="38">
        <v>-327.101</v>
      </c>
      <c r="J37" s="38">
        <v>-296.58100000000002</v>
      </c>
      <c r="K37" s="38">
        <v>-237.45599999999999</v>
      </c>
      <c r="L37" s="38">
        <v>-367.30599999999998</v>
      </c>
      <c r="M37" s="38">
        <v>-191.74100000000001</v>
      </c>
      <c r="N37" s="38">
        <v>-182.81399999999999</v>
      </c>
      <c r="O37" s="38">
        <v>-106.943</v>
      </c>
      <c r="P37" s="38">
        <v>-117.474</v>
      </c>
      <c r="Q37" s="38">
        <v>-66.215999999999994</v>
      </c>
    </row>
    <row r="38" spans="1:18" x14ac:dyDescent="0.25">
      <c r="A38" s="8" t="s">
        <v>36</v>
      </c>
      <c r="B38" s="37">
        <f t="shared" ref="B38:H38" si="4">SUM(B32:B37)</f>
        <v>-506.19999999999993</v>
      </c>
      <c r="C38" s="37">
        <f t="shared" si="4"/>
        <v>-627.1</v>
      </c>
      <c r="D38" s="37">
        <f t="shared" si="4"/>
        <v>-754.4</v>
      </c>
      <c r="E38" s="37">
        <f t="shared" si="4"/>
        <v>-595.1</v>
      </c>
      <c r="F38" s="37">
        <f t="shared" si="4"/>
        <v>-446.5</v>
      </c>
      <c r="G38" s="37">
        <f t="shared" si="4"/>
        <v>-407.20000000000005</v>
      </c>
      <c r="H38" s="37">
        <f t="shared" si="4"/>
        <v>-346.8</v>
      </c>
      <c r="I38" s="37">
        <f t="shared" ref="I38:Q38" si="5">SUM(I32:I37)</f>
        <v>-340.95300000000003</v>
      </c>
      <c r="J38" s="37">
        <f t="shared" si="5"/>
        <v>-249.73200000000003</v>
      </c>
      <c r="K38" s="37">
        <f t="shared" si="5"/>
        <v>-234.44299999999998</v>
      </c>
      <c r="L38" s="37">
        <f t="shared" si="5"/>
        <v>-327.51299999999998</v>
      </c>
      <c r="M38" s="37">
        <f t="shared" si="5"/>
        <v>-181.81900000000002</v>
      </c>
      <c r="N38" s="37">
        <f t="shared" si="5"/>
        <v>-182.81399999999999</v>
      </c>
      <c r="O38" s="37">
        <f t="shared" si="5"/>
        <v>-148.047</v>
      </c>
      <c r="P38" s="37">
        <f t="shared" si="5"/>
        <v>-143.43200000000002</v>
      </c>
      <c r="Q38" s="37">
        <f t="shared" si="5"/>
        <v>-153.52799999999999</v>
      </c>
    </row>
    <row r="39" spans="1:18" x14ac:dyDescent="0.25">
      <c r="A39" s="3" t="s">
        <v>79</v>
      </c>
      <c r="B39" s="38">
        <v>-16</v>
      </c>
      <c r="C39" s="38">
        <v>-4</v>
      </c>
      <c r="D39" s="38">
        <v>5.0999999999999996</v>
      </c>
      <c r="E39" s="38">
        <v>-0.2</v>
      </c>
      <c r="F39" s="38">
        <v>-3.5</v>
      </c>
      <c r="G39" s="38">
        <v>5.5</v>
      </c>
      <c r="H39" s="38">
        <v>-1.3</v>
      </c>
      <c r="I39" s="38">
        <v>-14.227</v>
      </c>
      <c r="J39" s="38">
        <v>-4.8890000000000002</v>
      </c>
      <c r="K39" s="38">
        <v>-0.99</v>
      </c>
      <c r="L39" s="38">
        <v>0.36</v>
      </c>
      <c r="M39" s="38">
        <v>-0.46400000000000002</v>
      </c>
      <c r="N39" s="38">
        <v>1.2150000000000001</v>
      </c>
      <c r="O39" s="38">
        <v>2.6859999999999999</v>
      </c>
      <c r="P39" s="38">
        <v>-1.2110000000000001</v>
      </c>
      <c r="Q39" s="38">
        <v>1.181</v>
      </c>
    </row>
    <row r="40" spans="1:18" x14ac:dyDescent="0.25">
      <c r="A40" s="3" t="s">
        <v>80</v>
      </c>
      <c r="B40" s="37">
        <f t="shared" ref="B40:H40" si="6">B23+B30+B38+B39</f>
        <v>-4.7000000000000455</v>
      </c>
      <c r="C40" s="37">
        <f t="shared" si="6"/>
        <v>-9.4999999999998863</v>
      </c>
      <c r="D40" s="37">
        <f t="shared" si="6"/>
        <v>70.799999999999926</v>
      </c>
      <c r="E40" s="37">
        <f t="shared" si="6"/>
        <v>7.7000000000000908</v>
      </c>
      <c r="F40" s="37">
        <f t="shared" si="6"/>
        <v>50.300000000000068</v>
      </c>
      <c r="G40" s="37">
        <f t="shared" si="6"/>
        <v>4.1999999999999886</v>
      </c>
      <c r="H40" s="37">
        <f t="shared" si="6"/>
        <v>-16.300000000000058</v>
      </c>
      <c r="I40" s="37">
        <f t="shared" ref="I40:Q40" si="7">I23+I30+I38+I39</f>
        <v>14.523</v>
      </c>
      <c r="J40" s="37">
        <f t="shared" si="7"/>
        <v>55.989999999999789</v>
      </c>
      <c r="K40" s="37">
        <f t="shared" si="7"/>
        <v>-21.104999999999979</v>
      </c>
      <c r="L40" s="37">
        <f t="shared" si="7"/>
        <v>-38.064999999999955</v>
      </c>
      <c r="M40" s="37">
        <f t="shared" si="7"/>
        <v>-26.017000000000053</v>
      </c>
      <c r="N40" s="37">
        <f t="shared" si="7"/>
        <v>-21.159000000000024</v>
      </c>
      <c r="O40" s="37">
        <f t="shared" si="7"/>
        <v>78.960000000000008</v>
      </c>
      <c r="P40" s="37">
        <f t="shared" si="7"/>
        <v>28.672000000000011</v>
      </c>
      <c r="Q40" s="37">
        <f t="shared" si="7"/>
        <v>37.874000000000038</v>
      </c>
    </row>
    <row r="41" spans="1:18" x14ac:dyDescent="0.25">
      <c r="A41" s="3" t="s">
        <v>81</v>
      </c>
      <c r="B41" s="38">
        <v>236.2</v>
      </c>
      <c r="C41" s="38">
        <v>245.7</v>
      </c>
      <c r="D41" s="38">
        <v>174.9</v>
      </c>
      <c r="E41" s="38">
        <v>167.2</v>
      </c>
      <c r="F41" s="38">
        <v>116.9</v>
      </c>
      <c r="G41" s="38">
        <v>112.7</v>
      </c>
      <c r="H41" s="38">
        <v>129</v>
      </c>
      <c r="I41" s="38">
        <v>114.496</v>
      </c>
      <c r="J41" s="38">
        <v>58.506</v>
      </c>
      <c r="K41" s="38">
        <v>79.611000000000004</v>
      </c>
      <c r="L41" s="38">
        <v>117.676</v>
      </c>
      <c r="M41" s="38">
        <v>143.69300000000001</v>
      </c>
      <c r="N41" s="38">
        <v>164.852</v>
      </c>
      <c r="O41" s="38">
        <v>85.891999999999996</v>
      </c>
      <c r="P41" s="38">
        <v>57.22</v>
      </c>
      <c r="Q41" s="38">
        <v>19.346</v>
      </c>
    </row>
    <row r="42" spans="1:18" ht="20" thickBot="1" x14ac:dyDescent="0.3">
      <c r="A42" s="8" t="s">
        <v>82</v>
      </c>
      <c r="B42" s="39">
        <f t="shared" ref="B42:H42" si="8">SUM(B40:B41)</f>
        <v>231.49999999999994</v>
      </c>
      <c r="C42" s="39">
        <f t="shared" si="8"/>
        <v>236.2000000000001</v>
      </c>
      <c r="D42" s="39">
        <f t="shared" si="8"/>
        <v>245.69999999999993</v>
      </c>
      <c r="E42" s="39">
        <f t="shared" si="8"/>
        <v>174.90000000000009</v>
      </c>
      <c r="F42" s="39">
        <f t="shared" si="8"/>
        <v>167.20000000000007</v>
      </c>
      <c r="G42" s="39">
        <f t="shared" si="8"/>
        <v>116.89999999999999</v>
      </c>
      <c r="H42" s="39">
        <f t="shared" si="8"/>
        <v>112.69999999999995</v>
      </c>
      <c r="I42" s="39">
        <f t="shared" ref="I42:Q42" si="9">SUM(I40:I41)</f>
        <v>129.01900000000001</v>
      </c>
      <c r="J42" s="39">
        <f t="shared" si="9"/>
        <v>114.49599999999978</v>
      </c>
      <c r="K42" s="39">
        <f t="shared" si="9"/>
        <v>58.506000000000029</v>
      </c>
      <c r="L42" s="39">
        <f t="shared" si="9"/>
        <v>79.611000000000047</v>
      </c>
      <c r="M42" s="39">
        <f t="shared" si="9"/>
        <v>117.67599999999996</v>
      </c>
      <c r="N42" s="39">
        <f t="shared" si="9"/>
        <v>143.69299999999998</v>
      </c>
      <c r="O42" s="39">
        <f t="shared" si="9"/>
        <v>164.852</v>
      </c>
      <c r="P42" s="39">
        <f t="shared" si="9"/>
        <v>85.89200000000001</v>
      </c>
      <c r="Q42" s="39">
        <f t="shared" si="9"/>
        <v>57.220000000000041</v>
      </c>
    </row>
    <row r="43" spans="1:18" ht="20" thickTop="1" x14ac:dyDescent="0.25">
      <c r="B43" s="60"/>
      <c r="C43" s="60"/>
      <c r="D43" s="60"/>
      <c r="E43" s="60"/>
      <c r="F43" s="60"/>
      <c r="G43" s="60"/>
      <c r="H43" s="60"/>
      <c r="I43" s="60"/>
      <c r="J43" s="60"/>
      <c r="K43" s="60"/>
      <c r="L43" s="60"/>
      <c r="M43" s="60"/>
      <c r="N43" s="60"/>
      <c r="O43" s="60"/>
      <c r="P43" s="60"/>
      <c r="Q43" s="60"/>
      <c r="R43" s="60"/>
    </row>
    <row r="44" spans="1:18" x14ac:dyDescent="0.25">
      <c r="A44" s="8" t="s">
        <v>242</v>
      </c>
      <c r="B44" s="56"/>
      <c r="C44" s="56"/>
      <c r="D44" s="56"/>
      <c r="E44" s="56"/>
      <c r="F44" s="56"/>
      <c r="G44" s="56"/>
      <c r="H44" s="56"/>
      <c r="I44" s="56"/>
      <c r="J44" s="56"/>
      <c r="K44" s="56"/>
      <c r="L44" s="56"/>
      <c r="M44" s="56"/>
      <c r="N44" s="56"/>
      <c r="O44" s="56"/>
      <c r="P44" s="56"/>
      <c r="Q44" s="56"/>
    </row>
    <row r="45" spans="1:18" x14ac:dyDescent="0.25">
      <c r="A45" s="42" t="s">
        <v>115</v>
      </c>
      <c r="B45" s="80">
        <v>44834</v>
      </c>
      <c r="C45" s="81">
        <v>2021</v>
      </c>
      <c r="D45" s="81">
        <v>2020</v>
      </c>
      <c r="E45" s="81">
        <v>2019</v>
      </c>
      <c r="F45" s="81">
        <v>2018</v>
      </c>
      <c r="G45" s="81">
        <v>2017</v>
      </c>
      <c r="H45" s="81">
        <v>2016</v>
      </c>
      <c r="I45" s="81">
        <v>2015</v>
      </c>
      <c r="J45" s="81">
        <v>2014</v>
      </c>
      <c r="K45" s="81">
        <v>2013</v>
      </c>
      <c r="L45" s="81">
        <v>2012</v>
      </c>
      <c r="M45" s="81">
        <v>2011</v>
      </c>
      <c r="N45" s="83">
        <v>2010</v>
      </c>
      <c r="O45" s="107" t="s">
        <v>233</v>
      </c>
      <c r="P45" s="107"/>
      <c r="Q45" s="38"/>
    </row>
    <row r="46" spans="1:18" x14ac:dyDescent="0.25">
      <c r="A46" s="8" t="s">
        <v>235</v>
      </c>
      <c r="B46" s="82">
        <f t="shared" ref="B46:N46" si="10">B6</f>
        <v>841.3</v>
      </c>
      <c r="C46" s="82">
        <f t="shared" si="10"/>
        <v>925</v>
      </c>
      <c r="D46" s="82">
        <f t="shared" si="10"/>
        <v>859.1</v>
      </c>
      <c r="E46" s="82">
        <f t="shared" si="10"/>
        <v>790.9</v>
      </c>
      <c r="F46" s="82">
        <f t="shared" si="10"/>
        <v>751.9</v>
      </c>
      <c r="G46" s="82">
        <f t="shared" si="10"/>
        <v>578.6</v>
      </c>
      <c r="H46" s="82">
        <f t="shared" si="10"/>
        <v>499.4</v>
      </c>
      <c r="I46" s="82">
        <f t="shared" si="10"/>
        <v>516.36099999999999</v>
      </c>
      <c r="J46" s="82">
        <f t="shared" si="10"/>
        <v>494.15</v>
      </c>
      <c r="K46" s="82">
        <f t="shared" si="10"/>
        <v>448.63600000000002</v>
      </c>
      <c r="L46" s="82">
        <f t="shared" si="10"/>
        <v>420.536</v>
      </c>
      <c r="M46" s="82">
        <f t="shared" si="10"/>
        <v>357.92899999999997</v>
      </c>
      <c r="N46" s="84">
        <f t="shared" si="10"/>
        <v>265.35599999999999</v>
      </c>
      <c r="O46" s="106">
        <f>SUM(B46:N46)</f>
        <v>7749.1679999999997</v>
      </c>
      <c r="P46" s="106"/>
      <c r="Q46" s="38"/>
    </row>
    <row r="47" spans="1:18" x14ac:dyDescent="0.25">
      <c r="A47" s="8" t="s">
        <v>234</v>
      </c>
      <c r="B47" s="59">
        <f t="shared" ref="B47:N47" si="11">B23</f>
        <v>639.09999999999991</v>
      </c>
      <c r="C47" s="59">
        <f t="shared" si="11"/>
        <v>770.10000000000014</v>
      </c>
      <c r="D47" s="59">
        <f t="shared" si="11"/>
        <v>1101.8</v>
      </c>
      <c r="E47" s="59">
        <f t="shared" si="11"/>
        <v>842.70000000000016</v>
      </c>
      <c r="F47" s="59">
        <f t="shared" si="11"/>
        <v>674.2</v>
      </c>
      <c r="G47" s="59">
        <f t="shared" si="11"/>
        <v>585.20000000000005</v>
      </c>
      <c r="H47" s="59">
        <f t="shared" si="11"/>
        <v>519.9</v>
      </c>
      <c r="I47" s="59">
        <f t="shared" si="11"/>
        <v>550.33000000000004</v>
      </c>
      <c r="J47" s="59">
        <f t="shared" si="11"/>
        <v>499.39199999999983</v>
      </c>
      <c r="K47" s="59">
        <f t="shared" si="11"/>
        <v>416.12</v>
      </c>
      <c r="L47" s="59">
        <f t="shared" si="11"/>
        <v>396.29200000000003</v>
      </c>
      <c r="M47" s="59">
        <f t="shared" si="11"/>
        <v>268.48899999999998</v>
      </c>
      <c r="N47" s="85">
        <f t="shared" si="11"/>
        <v>240.48799999999997</v>
      </c>
      <c r="O47" s="110">
        <f>SUM(B47:N47)</f>
        <v>7504.1109999999999</v>
      </c>
      <c r="P47" s="110"/>
      <c r="Q47" s="38"/>
    </row>
    <row r="48" spans="1:18" x14ac:dyDescent="0.25">
      <c r="A48" s="8" t="s">
        <v>236</v>
      </c>
      <c r="B48" s="38"/>
      <c r="C48" s="38"/>
      <c r="D48" s="38"/>
      <c r="E48" s="38"/>
      <c r="F48" s="38"/>
      <c r="G48" s="38"/>
      <c r="H48" s="38"/>
      <c r="I48" s="38"/>
      <c r="J48" s="38"/>
      <c r="K48" s="38"/>
      <c r="L48" s="38"/>
      <c r="M48" s="38"/>
      <c r="N48" s="48"/>
      <c r="O48" s="112"/>
      <c r="P48" s="113"/>
      <c r="Q48" s="38"/>
    </row>
    <row r="49" spans="1:17" ht="19" customHeight="1" x14ac:dyDescent="0.25">
      <c r="A49" s="3" t="s">
        <v>83</v>
      </c>
      <c r="B49" s="108">
        <v>131</v>
      </c>
      <c r="C49" s="38">
        <v>70.3</v>
      </c>
      <c r="D49" s="38">
        <v>91.5</v>
      </c>
      <c r="E49" s="38">
        <v>172.7</v>
      </c>
      <c r="F49" s="38">
        <v>110.7</v>
      </c>
      <c r="G49" s="38">
        <v>66.2</v>
      </c>
      <c r="H49" s="38">
        <v>131.80000000000001</v>
      </c>
      <c r="I49" s="38">
        <v>112.5</v>
      </c>
      <c r="J49" s="38">
        <v>144.649</v>
      </c>
      <c r="K49" s="38">
        <v>164.94</v>
      </c>
      <c r="L49" s="38">
        <v>105.27800000000001</v>
      </c>
      <c r="M49" s="38">
        <v>83.606999999999999</v>
      </c>
      <c r="N49" s="48">
        <v>50.822000000000003</v>
      </c>
      <c r="O49" s="104">
        <f>SUM(C49:N49)+B49</f>
        <v>1435.9960000000001</v>
      </c>
      <c r="P49" s="104"/>
      <c r="Q49" s="67"/>
    </row>
    <row r="50" spans="1:17" x14ac:dyDescent="0.25">
      <c r="A50" s="3" t="s">
        <v>198</v>
      </c>
      <c r="B50" s="108"/>
      <c r="C50" s="38">
        <v>11</v>
      </c>
      <c r="D50" s="38">
        <v>15.7</v>
      </c>
      <c r="E50" s="38">
        <v>12.3</v>
      </c>
      <c r="F50" s="38">
        <v>9.6</v>
      </c>
      <c r="G50" s="38">
        <v>8.3000000000000007</v>
      </c>
      <c r="H50" s="38">
        <v>14.1</v>
      </c>
      <c r="I50" s="38">
        <v>8.9</v>
      </c>
      <c r="J50" s="38">
        <v>6.7119999999999997</v>
      </c>
      <c r="K50" s="38">
        <v>6.3540000000000001</v>
      </c>
      <c r="L50" s="38">
        <v>5.24</v>
      </c>
      <c r="M50" s="38">
        <v>5.2590000000000003</v>
      </c>
      <c r="N50" s="48">
        <v>4.298</v>
      </c>
      <c r="O50" s="104">
        <f t="shared" ref="O50:O53" si="12">SUM(C50:N50)</f>
        <v>107.76300000000001</v>
      </c>
      <c r="P50" s="104"/>
      <c r="Q50" s="67"/>
    </row>
    <row r="51" spans="1:17" x14ac:dyDescent="0.25">
      <c r="A51" s="3" t="s">
        <v>84</v>
      </c>
      <c r="B51" s="108"/>
      <c r="C51" s="38">
        <v>28</v>
      </c>
      <c r="D51" s="38">
        <v>31.4</v>
      </c>
      <c r="E51" s="38">
        <v>31.1</v>
      </c>
      <c r="F51" s="38">
        <v>30.9</v>
      </c>
      <c r="G51" s="38">
        <v>23.2</v>
      </c>
      <c r="H51" s="38">
        <v>18</v>
      </c>
      <c r="I51" s="38">
        <v>19.7</v>
      </c>
      <c r="J51" s="38">
        <v>23.978000000000002</v>
      </c>
      <c r="K51" s="38">
        <v>12.651999999999999</v>
      </c>
      <c r="L51" s="38">
        <v>11.102</v>
      </c>
      <c r="M51" s="38">
        <v>12.036</v>
      </c>
      <c r="N51" s="48">
        <v>7.3470000000000004</v>
      </c>
      <c r="O51" s="104">
        <f t="shared" si="12"/>
        <v>249.41499999999999</v>
      </c>
      <c r="P51" s="104"/>
      <c r="Q51" s="67"/>
    </row>
    <row r="52" spans="1:17" x14ac:dyDescent="0.25">
      <c r="A52" s="3" t="s">
        <v>199</v>
      </c>
      <c r="B52" s="108"/>
      <c r="C52" s="38">
        <v>37.9</v>
      </c>
      <c r="D52" s="38">
        <v>16.100000000000001</v>
      </c>
      <c r="E52" s="38">
        <v>8.9</v>
      </c>
      <c r="F52" s="38">
        <v>12.9</v>
      </c>
      <c r="G52" s="38">
        <v>6.2</v>
      </c>
      <c r="H52" s="38">
        <v>5.5</v>
      </c>
      <c r="I52" s="38">
        <v>4.2</v>
      </c>
      <c r="J52" s="38">
        <v>4.0910000000000002</v>
      </c>
      <c r="K52" s="38">
        <v>9.6029999999999998</v>
      </c>
      <c r="L52" s="38">
        <v>6.0140000000000002</v>
      </c>
      <c r="M52" s="38">
        <v>5.157</v>
      </c>
      <c r="N52" s="48">
        <v>1.74</v>
      </c>
      <c r="O52" s="104">
        <f t="shared" si="12"/>
        <v>118.30499999999998</v>
      </c>
      <c r="P52" s="104"/>
      <c r="Q52" s="67"/>
    </row>
    <row r="53" spans="1:17" x14ac:dyDescent="0.25">
      <c r="A53" s="3" t="s">
        <v>85</v>
      </c>
      <c r="B53" s="109"/>
      <c r="C53" s="38">
        <v>9.4</v>
      </c>
      <c r="D53" s="38">
        <v>13.4</v>
      </c>
      <c r="E53" s="38">
        <v>21.4</v>
      </c>
      <c r="F53" s="38">
        <v>12.2</v>
      </c>
      <c r="G53" s="38">
        <v>16</v>
      </c>
      <c r="H53" s="38">
        <v>20.100000000000001</v>
      </c>
      <c r="I53" s="38">
        <v>9.9</v>
      </c>
      <c r="J53" s="38">
        <v>10.044</v>
      </c>
      <c r="K53" s="38">
        <v>12.991</v>
      </c>
      <c r="L53" s="38">
        <v>10.772</v>
      </c>
      <c r="M53" s="38">
        <v>13.984</v>
      </c>
      <c r="N53" s="48">
        <v>9.39</v>
      </c>
      <c r="O53" s="104">
        <f t="shared" si="12"/>
        <v>159.58100000000002</v>
      </c>
      <c r="P53" s="104"/>
      <c r="Q53" s="67"/>
    </row>
    <row r="54" spans="1:17" x14ac:dyDescent="0.25">
      <c r="A54" s="8" t="s">
        <v>114</v>
      </c>
      <c r="B54" s="38">
        <f>-B25</f>
        <v>131</v>
      </c>
      <c r="C54" s="37">
        <f t="shared" ref="C54:H54" si="13">SUM(C49:C53)</f>
        <v>156.6</v>
      </c>
      <c r="D54" s="37">
        <f t="shared" si="13"/>
        <v>168.1</v>
      </c>
      <c r="E54" s="37">
        <f t="shared" si="13"/>
        <v>246.4</v>
      </c>
      <c r="F54" s="37">
        <f t="shared" si="13"/>
        <v>176.29999999999998</v>
      </c>
      <c r="G54" s="37">
        <f t="shared" si="13"/>
        <v>119.9</v>
      </c>
      <c r="H54" s="37">
        <f t="shared" si="13"/>
        <v>189.5</v>
      </c>
      <c r="I54" s="37">
        <f t="shared" ref="I54:M54" si="14">SUM(I49:I53)</f>
        <v>155.19999999999999</v>
      </c>
      <c r="J54" s="37">
        <f t="shared" si="14"/>
        <v>189.47400000000002</v>
      </c>
      <c r="K54" s="37">
        <f t="shared" si="14"/>
        <v>206.54000000000002</v>
      </c>
      <c r="L54" s="37">
        <f t="shared" si="14"/>
        <v>138.40600000000001</v>
      </c>
      <c r="M54" s="37">
        <f t="shared" si="14"/>
        <v>120.04299999999999</v>
      </c>
      <c r="N54" s="49">
        <f>SUM(N49:N53)</f>
        <v>73.597000000000008</v>
      </c>
      <c r="O54" s="105">
        <f>SUM(O49:P53)</f>
        <v>2071.06</v>
      </c>
      <c r="P54" s="105"/>
      <c r="Q54" s="67"/>
    </row>
    <row r="55" spans="1:17" x14ac:dyDescent="0.25">
      <c r="A55" s="3" t="s">
        <v>238</v>
      </c>
      <c r="B55" s="38">
        <f>-B27</f>
        <v>-10.1</v>
      </c>
      <c r="C55" s="38">
        <v>-8.4</v>
      </c>
      <c r="D55" s="38">
        <v>-10.6</v>
      </c>
      <c r="E55" s="38">
        <v>-6.6</v>
      </c>
      <c r="F55" s="38">
        <v>-9.5</v>
      </c>
      <c r="G55" s="38">
        <v>-7.4</v>
      </c>
      <c r="H55" s="38">
        <v>-6.5</v>
      </c>
      <c r="I55" s="38">
        <v>-9.9</v>
      </c>
      <c r="J55" s="38">
        <v>-5.819</v>
      </c>
      <c r="K55" s="38">
        <v>-4.99</v>
      </c>
      <c r="L55" s="38">
        <v>-4.524</v>
      </c>
      <c r="M55" s="38">
        <v>-3.5539999999999998</v>
      </c>
      <c r="N55" s="48">
        <v>-4.4589999999999996</v>
      </c>
      <c r="O55" s="104">
        <f>SUM(B55:N55)</f>
        <v>-92.346000000000004</v>
      </c>
      <c r="P55" s="104"/>
      <c r="Q55" s="67"/>
    </row>
    <row r="56" spans="1:17" ht="20" thickBot="1" x14ac:dyDescent="0.3">
      <c r="A56" s="8" t="s">
        <v>86</v>
      </c>
      <c r="B56" s="39">
        <f t="shared" ref="B56:H56" si="15">B54+B55</f>
        <v>120.9</v>
      </c>
      <c r="C56" s="39">
        <f t="shared" si="15"/>
        <v>148.19999999999999</v>
      </c>
      <c r="D56" s="39">
        <f t="shared" si="15"/>
        <v>157.5</v>
      </c>
      <c r="E56" s="39">
        <f t="shared" si="15"/>
        <v>239.8</v>
      </c>
      <c r="F56" s="39">
        <f t="shared" si="15"/>
        <v>166.79999999999998</v>
      </c>
      <c r="G56" s="39">
        <f t="shared" si="15"/>
        <v>112.5</v>
      </c>
      <c r="H56" s="39">
        <f t="shared" si="15"/>
        <v>183</v>
      </c>
      <c r="I56" s="39">
        <f t="shared" ref="I56:N56" si="16">I54+I55</f>
        <v>145.29999999999998</v>
      </c>
      <c r="J56" s="39">
        <f t="shared" si="16"/>
        <v>183.65500000000003</v>
      </c>
      <c r="K56" s="39">
        <f t="shared" si="16"/>
        <v>201.55</v>
      </c>
      <c r="L56" s="39">
        <f t="shared" si="16"/>
        <v>133.88200000000001</v>
      </c>
      <c r="M56" s="39">
        <f t="shared" si="16"/>
        <v>116.48899999999999</v>
      </c>
      <c r="N56" s="50">
        <f t="shared" si="16"/>
        <v>69.138000000000005</v>
      </c>
      <c r="O56" s="103">
        <f>SUM(O54:P55)</f>
        <v>1978.7139999999999</v>
      </c>
      <c r="P56" s="103"/>
      <c r="Q56" s="67"/>
    </row>
    <row r="57" spans="1:17" ht="20" thickTop="1" x14ac:dyDescent="0.25">
      <c r="A57" s="8" t="s">
        <v>237</v>
      </c>
      <c r="B57" s="59"/>
      <c r="C57" s="59"/>
      <c r="D57" s="59"/>
      <c r="E57" s="59"/>
      <c r="F57" s="59"/>
      <c r="G57" s="59"/>
      <c r="H57" s="59"/>
      <c r="I57" s="59"/>
      <c r="J57" s="59"/>
      <c r="K57" s="59"/>
      <c r="L57" s="59"/>
      <c r="M57" s="59"/>
      <c r="N57" s="94"/>
      <c r="O57" s="111"/>
      <c r="P57" s="111"/>
      <c r="Q57" s="58"/>
    </row>
    <row r="58" spans="1:17" x14ac:dyDescent="0.25">
      <c r="A58" s="8" t="s">
        <v>239</v>
      </c>
      <c r="B58" s="58">
        <f>B47</f>
        <v>639.09999999999991</v>
      </c>
      <c r="C58" s="58">
        <f t="shared" ref="C58:N58" si="17">C47</f>
        <v>770.10000000000014</v>
      </c>
      <c r="D58" s="58">
        <f t="shared" si="17"/>
        <v>1101.8</v>
      </c>
      <c r="E58" s="58">
        <f t="shared" si="17"/>
        <v>842.70000000000016</v>
      </c>
      <c r="F58" s="58">
        <f t="shared" si="17"/>
        <v>674.2</v>
      </c>
      <c r="G58" s="58">
        <f t="shared" si="17"/>
        <v>585.20000000000005</v>
      </c>
      <c r="H58" s="58">
        <f t="shared" si="17"/>
        <v>519.9</v>
      </c>
      <c r="I58" s="58">
        <f t="shared" si="17"/>
        <v>550.33000000000004</v>
      </c>
      <c r="J58" s="58">
        <f t="shared" si="17"/>
        <v>499.39199999999983</v>
      </c>
      <c r="K58" s="58">
        <f t="shared" si="17"/>
        <v>416.12</v>
      </c>
      <c r="L58" s="58">
        <f t="shared" si="17"/>
        <v>396.29200000000003</v>
      </c>
      <c r="M58" s="58">
        <f t="shared" si="17"/>
        <v>268.48899999999998</v>
      </c>
      <c r="N58" s="88">
        <f t="shared" si="17"/>
        <v>240.48799999999997</v>
      </c>
      <c r="O58" s="111">
        <f>SUM(B58:N58)</f>
        <v>7504.1109999999999</v>
      </c>
      <c r="P58" s="111"/>
      <c r="Q58" s="58"/>
    </row>
    <row r="59" spans="1:17" x14ac:dyDescent="0.25">
      <c r="A59" s="3" t="s">
        <v>240</v>
      </c>
      <c r="B59" s="58">
        <f>-B56</f>
        <v>-120.9</v>
      </c>
      <c r="C59" s="58">
        <f t="shared" ref="C59:N59" si="18">-C56</f>
        <v>-148.19999999999999</v>
      </c>
      <c r="D59" s="58">
        <f t="shared" si="18"/>
        <v>-157.5</v>
      </c>
      <c r="E59" s="58">
        <f t="shared" si="18"/>
        <v>-239.8</v>
      </c>
      <c r="F59" s="58">
        <f t="shared" si="18"/>
        <v>-166.79999999999998</v>
      </c>
      <c r="G59" s="58">
        <f t="shared" si="18"/>
        <v>-112.5</v>
      </c>
      <c r="H59" s="58">
        <f t="shared" si="18"/>
        <v>-183</v>
      </c>
      <c r="I59" s="58">
        <f t="shared" si="18"/>
        <v>-145.29999999999998</v>
      </c>
      <c r="J59" s="58">
        <f t="shared" si="18"/>
        <v>-183.65500000000003</v>
      </c>
      <c r="K59" s="58">
        <f t="shared" si="18"/>
        <v>-201.55</v>
      </c>
      <c r="L59" s="58">
        <f t="shared" si="18"/>
        <v>-133.88200000000001</v>
      </c>
      <c r="M59" s="58">
        <f t="shared" si="18"/>
        <v>-116.48899999999999</v>
      </c>
      <c r="N59" s="88">
        <f t="shared" si="18"/>
        <v>-69.138000000000005</v>
      </c>
      <c r="O59" s="111">
        <f>SUM(B59:N59)</f>
        <v>-1978.7139999999999</v>
      </c>
      <c r="P59" s="111"/>
      <c r="Q59" s="58"/>
    </row>
    <row r="60" spans="1:17" ht="20" thickBot="1" x14ac:dyDescent="0.3">
      <c r="A60" s="8" t="s">
        <v>241</v>
      </c>
      <c r="B60" s="86">
        <f>SUM(B58:B59)</f>
        <v>518.19999999999993</v>
      </c>
      <c r="C60" s="86">
        <f t="shared" ref="C60:N60" si="19">SUM(C58:C59)</f>
        <v>621.90000000000009</v>
      </c>
      <c r="D60" s="86">
        <f t="shared" si="19"/>
        <v>944.3</v>
      </c>
      <c r="E60" s="86">
        <f t="shared" si="19"/>
        <v>602.90000000000009</v>
      </c>
      <c r="F60" s="86">
        <f t="shared" si="19"/>
        <v>507.40000000000009</v>
      </c>
      <c r="G60" s="86">
        <f t="shared" si="19"/>
        <v>472.70000000000005</v>
      </c>
      <c r="H60" s="86">
        <f t="shared" si="19"/>
        <v>336.9</v>
      </c>
      <c r="I60" s="86">
        <f t="shared" si="19"/>
        <v>405.03000000000009</v>
      </c>
      <c r="J60" s="86">
        <f t="shared" si="19"/>
        <v>315.7369999999998</v>
      </c>
      <c r="K60" s="86">
        <f t="shared" si="19"/>
        <v>214.57</v>
      </c>
      <c r="L60" s="86">
        <f t="shared" si="19"/>
        <v>262.41000000000003</v>
      </c>
      <c r="M60" s="86">
        <f t="shared" si="19"/>
        <v>152</v>
      </c>
      <c r="N60" s="89">
        <f t="shared" si="19"/>
        <v>171.34999999999997</v>
      </c>
      <c r="O60" s="114">
        <f>SUM(O58:P59)</f>
        <v>5525.3969999999999</v>
      </c>
      <c r="P60" s="114"/>
      <c r="Q60" s="58"/>
    </row>
    <row r="61" spans="1:17" ht="20" thickTop="1" x14ac:dyDescent="0.25">
      <c r="B61" s="58"/>
      <c r="C61" s="58"/>
      <c r="D61" s="58"/>
      <c r="E61" s="58"/>
      <c r="F61" s="58"/>
      <c r="G61" s="58"/>
      <c r="H61" s="58"/>
      <c r="I61" s="58"/>
      <c r="J61" s="58"/>
      <c r="K61" s="58"/>
      <c r="L61" s="58"/>
      <c r="M61" s="58"/>
      <c r="N61" s="87"/>
      <c r="O61" s="101"/>
      <c r="P61" s="101"/>
      <c r="Q61" s="58"/>
    </row>
    <row r="62" spans="1:17" x14ac:dyDescent="0.25">
      <c r="A62" s="23" t="s">
        <v>244</v>
      </c>
      <c r="B62" s="90">
        <f>B60/B46</f>
        <v>0.61595150362534168</v>
      </c>
      <c r="C62" s="90">
        <f t="shared" ref="C62:N62" si="20">C60/C46</f>
        <v>0.67232432432432443</v>
      </c>
      <c r="D62" s="90">
        <f t="shared" si="20"/>
        <v>1.0991735537190082</v>
      </c>
      <c r="E62" s="90">
        <f t="shared" si="20"/>
        <v>0.76229611834618805</v>
      </c>
      <c r="F62" s="90">
        <f t="shared" si="20"/>
        <v>0.67482377975794672</v>
      </c>
      <c r="G62" s="90">
        <f t="shared" si="20"/>
        <v>0.81697200138264781</v>
      </c>
      <c r="H62" s="90">
        <f t="shared" si="20"/>
        <v>0.67460953143772528</v>
      </c>
      <c r="I62" s="90">
        <f t="shared" si="20"/>
        <v>0.78439308933091401</v>
      </c>
      <c r="J62" s="90">
        <f t="shared" si="20"/>
        <v>0.6389497116260241</v>
      </c>
      <c r="K62" s="90">
        <f t="shared" si="20"/>
        <v>0.47827191754562715</v>
      </c>
      <c r="L62" s="90">
        <f>L60/L46</f>
        <v>0.62398938497536482</v>
      </c>
      <c r="M62" s="90">
        <f t="shared" si="20"/>
        <v>0.42466522690254216</v>
      </c>
      <c r="N62" s="91">
        <f t="shared" si="20"/>
        <v>0.64573629388444187</v>
      </c>
      <c r="O62" s="102">
        <f>O60/O46</f>
        <v>0.71303099894078958</v>
      </c>
      <c r="P62" s="102"/>
      <c r="Q62" s="58"/>
    </row>
    <row r="63" spans="1:17" x14ac:dyDescent="0.25">
      <c r="A63" s="23"/>
      <c r="B63" s="23"/>
      <c r="C63" s="23"/>
      <c r="D63" s="23"/>
      <c r="E63" s="23"/>
      <c r="F63" s="23"/>
      <c r="G63" s="23"/>
      <c r="H63" s="23"/>
      <c r="I63" s="23"/>
      <c r="J63" s="23"/>
      <c r="K63" s="23"/>
      <c r="L63" s="23"/>
      <c r="M63" s="23"/>
      <c r="N63" s="23"/>
      <c r="O63" s="23"/>
      <c r="P63" s="23"/>
    </row>
    <row r="64" spans="1:17" x14ac:dyDescent="0.25">
      <c r="A64" s="92" t="s">
        <v>245</v>
      </c>
      <c r="B64" s="93"/>
      <c r="C64" s="72"/>
    </row>
    <row r="65" spans="1:11" x14ac:dyDescent="0.25">
      <c r="A65" s="3" t="s">
        <v>246</v>
      </c>
      <c r="B65" s="27">
        <f>O60</f>
        <v>5525.3969999999999</v>
      </c>
      <c r="C65" s="27"/>
      <c r="K65" s="74"/>
    </row>
    <row r="66" spans="1:11" x14ac:dyDescent="0.25">
      <c r="A66" s="3" t="s">
        <v>87</v>
      </c>
      <c r="B66" s="27">
        <f>SUM(B32:N33)</f>
        <v>555</v>
      </c>
      <c r="C66" s="27"/>
    </row>
    <row r="67" spans="1:11" x14ac:dyDescent="0.25">
      <c r="A67" s="3" t="s">
        <v>200</v>
      </c>
      <c r="B67" s="27">
        <f>SUM(B34:N35)</f>
        <v>281.798</v>
      </c>
      <c r="C67" s="27"/>
    </row>
    <row r="68" spans="1:11" x14ac:dyDescent="0.25">
      <c r="A68" s="8" t="s">
        <v>88</v>
      </c>
      <c r="B68" s="29">
        <f>SUM(B65:B67)</f>
        <v>6362.1949999999997</v>
      </c>
      <c r="C68" s="73"/>
    </row>
    <row r="69" spans="1:11" x14ac:dyDescent="0.25">
      <c r="A69" s="3" t="s">
        <v>37</v>
      </c>
      <c r="B69" s="27">
        <f>SUM(B26:N26)</f>
        <v>-216.46799999999996</v>
      </c>
      <c r="C69" s="27"/>
    </row>
    <row r="70" spans="1:11" x14ac:dyDescent="0.25">
      <c r="A70" s="3" t="s">
        <v>89</v>
      </c>
      <c r="B70" s="27">
        <f>SUM(B36:N36)</f>
        <v>-796.67300000000012</v>
      </c>
      <c r="C70" s="27"/>
    </row>
    <row r="71" spans="1:11" x14ac:dyDescent="0.25">
      <c r="A71" s="3" t="s">
        <v>90</v>
      </c>
      <c r="B71" s="27">
        <f>SUM(B37:N37)</f>
        <v>-5240.6989999999996</v>
      </c>
      <c r="C71" s="27"/>
    </row>
    <row r="72" spans="1:11" x14ac:dyDescent="0.25">
      <c r="A72" s="8" t="s">
        <v>91</v>
      </c>
      <c r="B72" s="29">
        <f>SUM(B69:B71)</f>
        <v>-6253.84</v>
      </c>
      <c r="C72" s="73"/>
    </row>
  </sheetData>
  <mergeCells count="20">
    <mergeCell ref="B49:B53"/>
    <mergeCell ref="O47:P47"/>
    <mergeCell ref="O57:P57"/>
    <mergeCell ref="O48:P48"/>
    <mergeCell ref="O60:P60"/>
    <mergeCell ref="O59:P59"/>
    <mergeCell ref="O58:P58"/>
    <mergeCell ref="O61:P61"/>
    <mergeCell ref="O62:P62"/>
    <mergeCell ref="C3:Q3"/>
    <mergeCell ref="O56:P56"/>
    <mergeCell ref="O55:P55"/>
    <mergeCell ref="O54:P54"/>
    <mergeCell ref="O53:P53"/>
    <mergeCell ref="O52:P52"/>
    <mergeCell ref="O51:P51"/>
    <mergeCell ref="O50:P50"/>
    <mergeCell ref="O49:P49"/>
    <mergeCell ref="O46:P46"/>
    <mergeCell ref="O45:P45"/>
  </mergeCells>
  <pageMargins left="0.7" right="0.7" top="0.75" bottom="0.75" header="0.3" footer="0.3"/>
  <pageSetup orientation="portrait" horizontalDpi="0" verticalDpi="0" r:id="rId1"/>
  <ignoredErrors>
    <ignoredError sqref="B69:B71"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Q120"/>
  <sheetViews>
    <sheetView workbookViewId="0">
      <pane ySplit="3" topLeftCell="A4" activePane="bottomLeft" state="frozen"/>
      <selection pane="bottomLeft"/>
    </sheetView>
  </sheetViews>
  <sheetFormatPr baseColWidth="10" defaultColWidth="9.1640625" defaultRowHeight="19" x14ac:dyDescent="0.25"/>
  <cols>
    <col min="1" max="1" width="53.33203125" style="3" customWidth="1"/>
    <col min="2" max="14" width="11.33203125" style="3" customWidth="1"/>
    <col min="15" max="17" width="10.5" style="3" customWidth="1"/>
    <col min="18" max="18" width="10.6640625" style="3" customWidth="1"/>
    <col min="19" max="16384" width="9.1640625" style="3"/>
  </cols>
  <sheetData>
    <row r="1" spans="1:17" ht="24" x14ac:dyDescent="0.3">
      <c r="A1" s="34" t="s">
        <v>204</v>
      </c>
      <c r="B1" s="57"/>
      <c r="C1" s="57"/>
      <c r="D1" s="57"/>
      <c r="E1" s="57"/>
      <c r="F1" s="57"/>
      <c r="G1" s="57"/>
      <c r="H1" s="8"/>
      <c r="I1" s="8"/>
      <c r="J1" s="8"/>
    </row>
    <row r="2" spans="1:17" x14ac:dyDescent="0.25">
      <c r="A2" s="23" t="s">
        <v>197</v>
      </c>
      <c r="B2" s="23"/>
      <c r="C2" s="23"/>
      <c r="D2" s="23"/>
      <c r="E2" s="23"/>
      <c r="F2" s="23"/>
      <c r="G2" s="23"/>
      <c r="H2" s="23"/>
      <c r="I2" s="23"/>
      <c r="J2" s="23"/>
    </row>
    <row r="3" spans="1:17" x14ac:dyDescent="0.25">
      <c r="A3" s="42"/>
      <c r="B3" s="44">
        <v>44834</v>
      </c>
      <c r="C3" s="5">
        <v>44561</v>
      </c>
      <c r="D3" s="5">
        <v>44196</v>
      </c>
      <c r="E3" s="5">
        <v>43830</v>
      </c>
      <c r="F3" s="5">
        <v>43465</v>
      </c>
      <c r="G3" s="5">
        <v>43100</v>
      </c>
      <c r="H3" s="5">
        <v>42735</v>
      </c>
      <c r="I3" s="5">
        <v>42369</v>
      </c>
      <c r="J3" s="5">
        <v>42004</v>
      </c>
      <c r="K3" s="5">
        <v>41639</v>
      </c>
      <c r="L3" s="5">
        <v>41274</v>
      </c>
      <c r="M3" s="5">
        <v>40908</v>
      </c>
      <c r="N3" s="6">
        <v>40543</v>
      </c>
      <c r="O3" s="5">
        <v>40178</v>
      </c>
      <c r="P3" s="5">
        <v>39813</v>
      </c>
      <c r="Q3" s="5">
        <v>39447</v>
      </c>
    </row>
    <row r="4" spans="1:17" x14ac:dyDescent="0.25">
      <c r="A4" s="8" t="s">
        <v>140</v>
      </c>
      <c r="B4" s="63"/>
      <c r="C4" s="63"/>
      <c r="D4" s="63"/>
      <c r="E4" s="63"/>
      <c r="F4" s="63"/>
      <c r="G4" s="63"/>
      <c r="H4" s="63"/>
      <c r="I4" s="63"/>
      <c r="J4" s="63"/>
      <c r="K4" s="63"/>
      <c r="L4" s="63"/>
      <c r="M4" s="63"/>
      <c r="N4" s="63"/>
      <c r="O4" s="63"/>
      <c r="P4" s="63"/>
      <c r="Q4" s="63"/>
    </row>
    <row r="5" spans="1:17" x14ac:dyDescent="0.25">
      <c r="A5" s="3" t="s">
        <v>141</v>
      </c>
      <c r="B5" s="63">
        <v>1402</v>
      </c>
      <c r="C5" s="63">
        <v>1476</v>
      </c>
      <c r="D5" s="63">
        <v>1689</v>
      </c>
      <c r="E5" s="63">
        <v>1806</v>
      </c>
      <c r="F5" s="63">
        <v>1924</v>
      </c>
      <c r="G5" s="63">
        <v>2076</v>
      </c>
      <c r="H5" s="63">
        <v>2194</v>
      </c>
      <c r="I5" s="63">
        <v>2320</v>
      </c>
      <c r="J5" s="63">
        <v>2336</v>
      </c>
      <c r="K5" s="63">
        <v>2394</v>
      </c>
      <c r="L5" s="63">
        <v>2380</v>
      </c>
      <c r="M5" s="63">
        <v>2335</v>
      </c>
      <c r="N5" s="63">
        <v>2258</v>
      </c>
      <c r="O5" s="63">
        <v>2153</v>
      </c>
      <c r="P5" s="63">
        <v>2097</v>
      </c>
      <c r="Q5" s="63">
        <v>1969</v>
      </c>
    </row>
    <row r="6" spans="1:17" x14ac:dyDescent="0.25">
      <c r="A6" s="3" t="s">
        <v>142</v>
      </c>
      <c r="B6" s="118">
        <v>236</v>
      </c>
      <c r="C6" s="63">
        <v>173</v>
      </c>
      <c r="D6" s="63">
        <v>179</v>
      </c>
      <c r="E6" s="63">
        <v>183</v>
      </c>
      <c r="F6" s="63">
        <v>186</v>
      </c>
      <c r="G6" s="63">
        <v>195</v>
      </c>
      <c r="H6" s="63">
        <v>198</v>
      </c>
      <c r="I6" s="63">
        <v>200</v>
      </c>
      <c r="J6" s="63">
        <v>202</v>
      </c>
      <c r="K6" s="63">
        <v>204</v>
      </c>
      <c r="L6" s="63">
        <v>195</v>
      </c>
      <c r="M6" s="63">
        <v>183</v>
      </c>
      <c r="N6" s="63">
        <v>176</v>
      </c>
      <c r="O6" s="63">
        <v>169</v>
      </c>
      <c r="P6" s="63">
        <v>169</v>
      </c>
      <c r="Q6" s="63">
        <v>148</v>
      </c>
    </row>
    <row r="7" spans="1:17" x14ac:dyDescent="0.25">
      <c r="A7" s="3" t="s">
        <v>143</v>
      </c>
      <c r="B7" s="118"/>
      <c r="C7" s="63">
        <v>71</v>
      </c>
      <c r="D7" s="63">
        <v>66</v>
      </c>
      <c r="E7" s="63">
        <v>64</v>
      </c>
      <c r="F7" s="63">
        <f>52+8</f>
        <v>60</v>
      </c>
      <c r="G7" s="63">
        <f>53+8</f>
        <v>61</v>
      </c>
      <c r="H7" s="63">
        <f>52+8</f>
        <v>60</v>
      </c>
      <c r="I7" s="63">
        <f>47+8</f>
        <v>55</v>
      </c>
      <c r="J7" s="63">
        <f>44+8</f>
        <v>52</v>
      </c>
      <c r="K7" s="63">
        <v>49</v>
      </c>
      <c r="L7" s="63">
        <v>45</v>
      </c>
      <c r="M7" s="63">
        <v>43</v>
      </c>
      <c r="N7" s="63">
        <v>42</v>
      </c>
      <c r="O7" s="63">
        <v>41</v>
      </c>
      <c r="P7" s="63">
        <v>41</v>
      </c>
      <c r="Q7" s="63">
        <v>39</v>
      </c>
    </row>
    <row r="8" spans="1:17" x14ac:dyDescent="0.25">
      <c r="A8" s="3" t="s">
        <v>144</v>
      </c>
      <c r="B8" s="118">
        <v>78</v>
      </c>
      <c r="C8" s="63">
        <v>5</v>
      </c>
      <c r="D8" s="63">
        <v>5</v>
      </c>
      <c r="E8" s="63">
        <v>6</v>
      </c>
      <c r="F8" s="63">
        <v>6</v>
      </c>
      <c r="G8" s="63">
        <v>6</v>
      </c>
      <c r="H8" s="63">
        <v>8</v>
      </c>
      <c r="I8" s="63">
        <v>9</v>
      </c>
      <c r="J8" s="63">
        <v>9</v>
      </c>
      <c r="K8" s="63">
        <v>8</v>
      </c>
      <c r="L8" s="63">
        <v>4</v>
      </c>
      <c r="M8" s="63">
        <v>3</v>
      </c>
      <c r="N8" s="63">
        <v>2</v>
      </c>
      <c r="O8" s="63">
        <v>0</v>
      </c>
      <c r="P8" s="63">
        <v>0</v>
      </c>
      <c r="Q8" s="63">
        <v>0</v>
      </c>
    </row>
    <row r="9" spans="1:17" x14ac:dyDescent="0.25">
      <c r="A9" s="3" t="s">
        <v>145</v>
      </c>
      <c r="B9" s="118"/>
      <c r="C9" s="63">
        <v>20</v>
      </c>
      <c r="D9" s="63">
        <v>19</v>
      </c>
      <c r="E9" s="63">
        <v>14</v>
      </c>
      <c r="F9" s="63">
        <v>14</v>
      </c>
      <c r="G9" s="63">
        <f>7+7</f>
        <v>14</v>
      </c>
      <c r="H9" s="63">
        <f>10+7</f>
        <v>17</v>
      </c>
      <c r="I9" s="63">
        <f>10+7</f>
        <v>17</v>
      </c>
      <c r="J9" s="63">
        <f>10+7</f>
        <v>17</v>
      </c>
      <c r="K9" s="63">
        <v>15</v>
      </c>
      <c r="L9" s="63">
        <v>15</v>
      </c>
      <c r="M9" s="63">
        <v>12</v>
      </c>
      <c r="N9" s="63">
        <v>9</v>
      </c>
      <c r="O9" s="63">
        <v>4</v>
      </c>
      <c r="P9" s="63">
        <v>2</v>
      </c>
      <c r="Q9" s="63">
        <v>2</v>
      </c>
    </row>
    <row r="10" spans="1:17" x14ac:dyDescent="0.25">
      <c r="A10" s="3" t="s">
        <v>146</v>
      </c>
      <c r="B10" s="118"/>
      <c r="C10" s="63">
        <v>48</v>
      </c>
      <c r="D10" s="63">
        <v>45</v>
      </c>
      <c r="E10" s="63">
        <v>41</v>
      </c>
      <c r="F10" s="63">
        <v>37</v>
      </c>
      <c r="G10" s="63">
        <f>29</f>
        <v>29</v>
      </c>
      <c r="H10" s="63">
        <v>24</v>
      </c>
      <c r="I10" s="63">
        <v>20</v>
      </c>
      <c r="J10" s="63">
        <v>20</v>
      </c>
      <c r="K10" s="63">
        <v>17</v>
      </c>
      <c r="L10" s="63">
        <v>13</v>
      </c>
      <c r="M10" s="63">
        <v>9</v>
      </c>
      <c r="N10" s="63">
        <v>3</v>
      </c>
      <c r="O10" s="63">
        <v>2</v>
      </c>
      <c r="P10" s="63">
        <v>2</v>
      </c>
      <c r="Q10" s="63">
        <v>2</v>
      </c>
    </row>
    <row r="11" spans="1:17" x14ac:dyDescent="0.25">
      <c r="A11" s="3" t="s">
        <v>151</v>
      </c>
      <c r="B11" s="119"/>
      <c r="C11" s="63">
        <v>0</v>
      </c>
      <c r="D11" s="63">
        <v>0</v>
      </c>
      <c r="E11" s="63">
        <v>0</v>
      </c>
      <c r="F11" s="63">
        <v>0</v>
      </c>
      <c r="G11" s="63">
        <v>2</v>
      </c>
      <c r="H11" s="63">
        <v>2</v>
      </c>
      <c r="I11" s="63">
        <v>1</v>
      </c>
      <c r="J11" s="63">
        <v>1</v>
      </c>
      <c r="K11" s="63">
        <v>0</v>
      </c>
      <c r="L11" s="63">
        <v>0</v>
      </c>
      <c r="M11" s="63">
        <v>0</v>
      </c>
      <c r="N11" s="63">
        <v>0</v>
      </c>
      <c r="O11" s="63">
        <v>0</v>
      </c>
      <c r="P11" s="63">
        <v>0</v>
      </c>
      <c r="Q11" s="63">
        <v>0</v>
      </c>
    </row>
    <row r="12" spans="1:17" x14ac:dyDescent="0.25">
      <c r="A12" s="8" t="s">
        <v>147</v>
      </c>
      <c r="B12" s="64">
        <f t="shared" ref="B12:Q12" si="0">SUM(B5:B11)</f>
        <v>1716</v>
      </c>
      <c r="C12" s="64">
        <f t="shared" si="0"/>
        <v>1793</v>
      </c>
      <c r="D12" s="64">
        <f t="shared" si="0"/>
        <v>2003</v>
      </c>
      <c r="E12" s="64">
        <f t="shared" si="0"/>
        <v>2114</v>
      </c>
      <c r="F12" s="64">
        <f t="shared" si="0"/>
        <v>2227</v>
      </c>
      <c r="G12" s="64">
        <f t="shared" si="0"/>
        <v>2383</v>
      </c>
      <c r="H12" s="64">
        <f t="shared" si="0"/>
        <v>2503</v>
      </c>
      <c r="I12" s="64">
        <f t="shared" si="0"/>
        <v>2622</v>
      </c>
      <c r="J12" s="64">
        <f t="shared" si="0"/>
        <v>2637</v>
      </c>
      <c r="K12" s="64">
        <f t="shared" si="0"/>
        <v>2687</v>
      </c>
      <c r="L12" s="64">
        <f t="shared" si="0"/>
        <v>2652</v>
      </c>
      <c r="M12" s="64">
        <f t="shared" si="0"/>
        <v>2585</v>
      </c>
      <c r="N12" s="64">
        <f t="shared" si="0"/>
        <v>2490</v>
      </c>
      <c r="O12" s="64">
        <f t="shared" si="0"/>
        <v>2369</v>
      </c>
      <c r="P12" s="64">
        <f t="shared" si="0"/>
        <v>2311</v>
      </c>
      <c r="Q12" s="64">
        <f t="shared" si="0"/>
        <v>2160</v>
      </c>
    </row>
    <row r="13" spans="1:17" x14ac:dyDescent="0.25">
      <c r="A13" s="8" t="s">
        <v>149</v>
      </c>
      <c r="B13" s="63"/>
      <c r="C13" s="63"/>
      <c r="D13" s="63"/>
      <c r="E13" s="63"/>
      <c r="F13" s="63"/>
      <c r="G13" s="63"/>
      <c r="H13" s="63"/>
      <c r="I13" s="63"/>
      <c r="J13" s="63"/>
      <c r="K13" s="63"/>
      <c r="L13" s="63"/>
      <c r="M13" s="63"/>
      <c r="N13" s="63"/>
      <c r="O13" s="63"/>
      <c r="P13" s="63"/>
      <c r="Q13" s="63"/>
    </row>
    <row r="14" spans="1:17" ht="19" customHeight="1" x14ac:dyDescent="0.25">
      <c r="A14" s="3" t="s">
        <v>141</v>
      </c>
      <c r="B14" s="63">
        <v>1289</v>
      </c>
      <c r="C14" s="63">
        <v>1173</v>
      </c>
      <c r="D14" s="63">
        <v>1044</v>
      </c>
      <c r="E14" s="63">
        <v>925</v>
      </c>
      <c r="F14" s="63">
        <v>732</v>
      </c>
      <c r="G14" s="118">
        <v>605</v>
      </c>
      <c r="H14" s="118">
        <v>401</v>
      </c>
      <c r="I14" s="118">
        <v>264</v>
      </c>
      <c r="J14" s="118">
        <v>214</v>
      </c>
      <c r="K14" s="128" t="s">
        <v>153</v>
      </c>
      <c r="L14" s="129"/>
      <c r="M14" s="129"/>
      <c r="N14" s="129"/>
      <c r="O14" s="129"/>
      <c r="P14" s="129"/>
      <c r="Q14" s="130"/>
    </row>
    <row r="15" spans="1:17" x14ac:dyDescent="0.25">
      <c r="A15" s="3" t="s">
        <v>142</v>
      </c>
      <c r="B15" s="118">
        <v>212</v>
      </c>
      <c r="C15" s="63">
        <v>89</v>
      </c>
      <c r="D15" s="63">
        <v>81</v>
      </c>
      <c r="E15" s="63">
        <v>71</v>
      </c>
      <c r="F15" s="63">
        <v>60</v>
      </c>
      <c r="G15" s="118"/>
      <c r="H15" s="118"/>
      <c r="I15" s="118"/>
      <c r="J15" s="118"/>
      <c r="K15" s="131"/>
      <c r="L15" s="132"/>
      <c r="M15" s="132"/>
      <c r="N15" s="132"/>
      <c r="O15" s="132"/>
      <c r="P15" s="132"/>
      <c r="Q15" s="133"/>
    </row>
    <row r="16" spans="1:17" x14ac:dyDescent="0.25">
      <c r="A16" s="3" t="s">
        <v>143</v>
      </c>
      <c r="B16" s="118"/>
      <c r="C16" s="63">
        <v>100</v>
      </c>
      <c r="D16" s="63">
        <v>93</v>
      </c>
      <c r="E16" s="63">
        <v>82</v>
      </c>
      <c r="F16" s="63">
        <f>66+7</f>
        <v>73</v>
      </c>
      <c r="G16" s="118"/>
      <c r="H16" s="118"/>
      <c r="I16" s="118"/>
      <c r="J16" s="118"/>
      <c r="K16" s="131"/>
      <c r="L16" s="132"/>
      <c r="M16" s="132"/>
      <c r="N16" s="132"/>
      <c r="O16" s="132"/>
      <c r="P16" s="132"/>
      <c r="Q16" s="133"/>
    </row>
    <row r="17" spans="1:17" x14ac:dyDescent="0.25">
      <c r="A17" s="3" t="s">
        <v>144</v>
      </c>
      <c r="B17" s="118">
        <v>66</v>
      </c>
      <c r="C17" s="63">
        <v>15</v>
      </c>
      <c r="D17" s="63">
        <v>15</v>
      </c>
      <c r="E17" s="63">
        <v>9</v>
      </c>
      <c r="F17" s="63">
        <v>8</v>
      </c>
      <c r="G17" s="118"/>
      <c r="H17" s="118"/>
      <c r="I17" s="118"/>
      <c r="J17" s="118"/>
      <c r="K17" s="131"/>
      <c r="L17" s="132"/>
      <c r="M17" s="132"/>
      <c r="N17" s="132"/>
      <c r="O17" s="132"/>
      <c r="P17" s="132"/>
      <c r="Q17" s="133"/>
    </row>
    <row r="18" spans="1:17" x14ac:dyDescent="0.25">
      <c r="A18" s="3" t="s">
        <v>145</v>
      </c>
      <c r="B18" s="118"/>
      <c r="C18" s="63">
        <v>17</v>
      </c>
      <c r="D18" s="63">
        <v>12</v>
      </c>
      <c r="E18" s="63">
        <v>11</v>
      </c>
      <c r="F18" s="63">
        <v>9</v>
      </c>
      <c r="G18" s="118"/>
      <c r="H18" s="118"/>
      <c r="I18" s="118"/>
      <c r="J18" s="118"/>
      <c r="K18" s="131"/>
      <c r="L18" s="132"/>
      <c r="M18" s="132"/>
      <c r="N18" s="132"/>
      <c r="O18" s="132"/>
      <c r="P18" s="132"/>
      <c r="Q18" s="133"/>
    </row>
    <row r="19" spans="1:17" x14ac:dyDescent="0.25">
      <c r="A19" s="3" t="s">
        <v>146</v>
      </c>
      <c r="B19" s="118"/>
      <c r="C19" s="63">
        <v>22</v>
      </c>
      <c r="D19" s="63">
        <v>20</v>
      </c>
      <c r="E19" s="63">
        <v>16</v>
      </c>
      <c r="F19" s="63">
        <v>12</v>
      </c>
      <c r="G19" s="118"/>
      <c r="H19" s="118"/>
      <c r="I19" s="118"/>
      <c r="J19" s="118"/>
      <c r="K19" s="131"/>
      <c r="L19" s="132"/>
      <c r="M19" s="132"/>
      <c r="N19" s="132"/>
      <c r="O19" s="132"/>
      <c r="P19" s="132"/>
      <c r="Q19" s="133"/>
    </row>
    <row r="20" spans="1:17" x14ac:dyDescent="0.25">
      <c r="A20" s="3" t="s">
        <v>151</v>
      </c>
      <c r="B20" s="119"/>
      <c r="C20" s="63">
        <v>0</v>
      </c>
      <c r="D20" s="63">
        <v>0</v>
      </c>
      <c r="E20" s="63">
        <v>0</v>
      </c>
      <c r="F20" s="63">
        <v>0</v>
      </c>
      <c r="G20" s="119"/>
      <c r="H20" s="119"/>
      <c r="I20" s="119"/>
      <c r="J20" s="119"/>
      <c r="K20" s="131"/>
      <c r="L20" s="132"/>
      <c r="M20" s="132"/>
      <c r="N20" s="132"/>
      <c r="O20" s="132"/>
      <c r="P20" s="132"/>
      <c r="Q20" s="133"/>
    </row>
    <row r="21" spans="1:17" x14ac:dyDescent="0.25">
      <c r="A21" s="8" t="s">
        <v>148</v>
      </c>
      <c r="B21" s="64">
        <f t="shared" ref="B21:J21" si="1">SUM(B14:B20)</f>
        <v>1567</v>
      </c>
      <c r="C21" s="64">
        <f t="shared" si="1"/>
        <v>1416</v>
      </c>
      <c r="D21" s="64">
        <f t="shared" si="1"/>
        <v>1265</v>
      </c>
      <c r="E21" s="64">
        <f t="shared" si="1"/>
        <v>1114</v>
      </c>
      <c r="F21" s="64">
        <f t="shared" si="1"/>
        <v>894</v>
      </c>
      <c r="G21" s="64">
        <f t="shared" si="1"/>
        <v>605</v>
      </c>
      <c r="H21" s="64">
        <f t="shared" si="1"/>
        <v>401</v>
      </c>
      <c r="I21" s="64">
        <f t="shared" si="1"/>
        <v>264</v>
      </c>
      <c r="J21" s="64">
        <f t="shared" si="1"/>
        <v>214</v>
      </c>
      <c r="K21" s="134"/>
      <c r="L21" s="135"/>
      <c r="M21" s="135"/>
      <c r="N21" s="135"/>
      <c r="O21" s="135"/>
      <c r="P21" s="135"/>
      <c r="Q21" s="136"/>
    </row>
    <row r="22" spans="1:17" ht="20" thickBot="1" x14ac:dyDescent="0.3">
      <c r="A22" s="8" t="s">
        <v>150</v>
      </c>
      <c r="B22" s="65">
        <f t="shared" ref="B22:J22" si="2">B12+B21</f>
        <v>3283</v>
      </c>
      <c r="C22" s="65">
        <f t="shared" si="2"/>
        <v>3209</v>
      </c>
      <c r="D22" s="65">
        <f t="shared" si="2"/>
        <v>3268</v>
      </c>
      <c r="E22" s="65">
        <f t="shared" si="2"/>
        <v>3228</v>
      </c>
      <c r="F22" s="65">
        <f t="shared" si="2"/>
        <v>3121</v>
      </c>
      <c r="G22" s="65">
        <f t="shared" si="2"/>
        <v>2988</v>
      </c>
      <c r="H22" s="65">
        <f t="shared" si="2"/>
        <v>2904</v>
      </c>
      <c r="I22" s="65">
        <f t="shared" si="2"/>
        <v>2886</v>
      </c>
      <c r="J22" s="65">
        <f t="shared" si="2"/>
        <v>2851</v>
      </c>
      <c r="K22" s="65">
        <f>K12</f>
        <v>2687</v>
      </c>
      <c r="L22" s="65">
        <f t="shared" ref="L22:Q22" si="3">L12</f>
        <v>2652</v>
      </c>
      <c r="M22" s="65">
        <f t="shared" si="3"/>
        <v>2585</v>
      </c>
      <c r="N22" s="65">
        <f t="shared" si="3"/>
        <v>2490</v>
      </c>
      <c r="O22" s="65">
        <f t="shared" si="3"/>
        <v>2369</v>
      </c>
      <c r="P22" s="65">
        <f t="shared" si="3"/>
        <v>2311</v>
      </c>
      <c r="Q22" s="65">
        <f t="shared" si="3"/>
        <v>2160</v>
      </c>
    </row>
    <row r="23" spans="1:17" ht="20" thickTop="1" x14ac:dyDescent="0.25">
      <c r="A23" s="23" t="s">
        <v>152</v>
      </c>
      <c r="B23" s="63"/>
      <c r="C23" s="63"/>
      <c r="D23" s="63"/>
      <c r="E23" s="63"/>
      <c r="F23" s="63"/>
      <c r="G23" s="63"/>
      <c r="H23" s="63"/>
      <c r="I23" s="63"/>
      <c r="J23" s="63"/>
      <c r="K23" s="63"/>
      <c r="L23" s="63"/>
      <c r="M23" s="63"/>
      <c r="N23" s="63"/>
      <c r="O23" s="63"/>
      <c r="P23" s="63"/>
      <c r="Q23" s="63"/>
    </row>
    <row r="24" spans="1:17" x14ac:dyDescent="0.25">
      <c r="H24" s="13"/>
      <c r="I24" s="13"/>
      <c r="J24" s="13"/>
      <c r="K24" s="13"/>
      <c r="L24" s="13"/>
      <c r="M24" s="13"/>
      <c r="N24" s="13"/>
      <c r="O24" s="13"/>
      <c r="P24" s="13"/>
      <c r="Q24" s="13"/>
    </row>
    <row r="25" spans="1:17" x14ac:dyDescent="0.25">
      <c r="A25" s="3" t="s">
        <v>93</v>
      </c>
      <c r="B25" s="66" t="s">
        <v>156</v>
      </c>
      <c r="C25" s="10">
        <v>101600</v>
      </c>
      <c r="D25" s="10">
        <v>95733</v>
      </c>
      <c r="E25" s="10">
        <v>89937</v>
      </c>
      <c r="F25" s="10">
        <v>81137</v>
      </c>
      <c r="G25" s="10">
        <v>71421</v>
      </c>
      <c r="H25" s="10">
        <v>62822</v>
      </c>
      <c r="I25" s="10">
        <v>55510</v>
      </c>
      <c r="J25" s="10">
        <v>46855</v>
      </c>
      <c r="K25" s="30">
        <v>40775</v>
      </c>
      <c r="L25" s="30">
        <v>26975</v>
      </c>
      <c r="M25" s="30">
        <v>9462</v>
      </c>
      <c r="N25" s="122" t="s">
        <v>159</v>
      </c>
      <c r="O25" s="123"/>
      <c r="P25" s="123"/>
      <c r="Q25" s="124"/>
    </row>
    <row r="26" spans="1:17" x14ac:dyDescent="0.25">
      <c r="A26" s="3" t="s">
        <v>154</v>
      </c>
      <c r="B26" s="10">
        <v>99409</v>
      </c>
      <c r="C26" s="10">
        <v>92874</v>
      </c>
      <c r="D26" s="10">
        <v>83802</v>
      </c>
      <c r="E26" s="10">
        <v>76792</v>
      </c>
      <c r="F26" s="10">
        <v>66784</v>
      </c>
      <c r="G26" s="10">
        <v>56436</v>
      </c>
      <c r="H26" s="10">
        <v>48399</v>
      </c>
      <c r="I26" s="10">
        <v>41905</v>
      </c>
      <c r="J26" s="10">
        <v>34529</v>
      </c>
      <c r="K26" s="10">
        <v>29262</v>
      </c>
      <c r="L26" s="10">
        <v>18395</v>
      </c>
      <c r="M26" s="10">
        <v>6771</v>
      </c>
      <c r="N26" s="125"/>
      <c r="O26" s="126"/>
      <c r="P26" s="126"/>
      <c r="Q26" s="127"/>
    </row>
    <row r="27" spans="1:17" x14ac:dyDescent="0.25">
      <c r="A27" s="23" t="s">
        <v>155</v>
      </c>
      <c r="B27" s="23"/>
      <c r="C27" s="23"/>
      <c r="D27" s="23"/>
      <c r="E27" s="23"/>
      <c r="F27" s="23"/>
      <c r="G27" s="23"/>
      <c r="H27" s="10"/>
      <c r="I27" s="10"/>
      <c r="J27" s="10"/>
      <c r="K27" s="10"/>
      <c r="L27" s="10"/>
      <c r="M27" s="10"/>
      <c r="N27" s="10"/>
      <c r="O27" s="10"/>
      <c r="P27" s="10"/>
      <c r="Q27" s="10"/>
    </row>
    <row r="28" spans="1:17" x14ac:dyDescent="0.25">
      <c r="H28" s="10"/>
      <c r="I28" s="10"/>
      <c r="J28" s="10"/>
      <c r="K28" s="10"/>
      <c r="L28" s="10"/>
      <c r="M28" s="10"/>
      <c r="N28" s="10"/>
      <c r="O28" s="10"/>
      <c r="P28" s="10"/>
      <c r="Q28" s="10"/>
    </row>
    <row r="29" spans="1:17" x14ac:dyDescent="0.25">
      <c r="A29" s="3" t="s">
        <v>157</v>
      </c>
      <c r="B29" s="14">
        <f>'Operating Summary (Annual)'!B5</f>
        <v>5285</v>
      </c>
      <c r="C29" s="14">
        <f>'Operating Summary (Annual)'!D5</f>
        <v>6010.9</v>
      </c>
      <c r="D29" s="14">
        <f>'Operating Summary (Annual)'!E5</f>
        <v>5647.3</v>
      </c>
      <c r="E29" s="14">
        <f>'Operating Summary (Annual)'!F5</f>
        <v>5333.7</v>
      </c>
      <c r="F29" s="14">
        <f>'Operating Summary (Annual)'!G5</f>
        <v>4965.1000000000004</v>
      </c>
      <c r="G29" s="14">
        <f>'Operating Summary (Annual)'!H5</f>
        <v>4390.5</v>
      </c>
      <c r="H29" s="14">
        <f>'Operating Summary (Annual)'!I5</f>
        <v>3962</v>
      </c>
      <c r="I29" s="14">
        <f>'Operating Summary (Annual)'!J5</f>
        <v>3869.2</v>
      </c>
      <c r="J29" s="14">
        <f>'Operating Summary (Annual)'!K5</f>
        <v>3733.5070000000001</v>
      </c>
      <c r="K29" s="14">
        <f>'Operating Summary (Annual)'!L5</f>
        <v>3326.1060000000002</v>
      </c>
      <c r="L29" s="14">
        <f>'Operating Summary (Annual)'!M5</f>
        <v>3133.5770000000002</v>
      </c>
      <c r="M29" s="14">
        <f>'Operating Summary (Annual)'!N5</f>
        <v>2766.8589999999999</v>
      </c>
      <c r="N29" s="14">
        <f>'Operating Summary (Annual)'!O5</f>
        <v>2269.471</v>
      </c>
      <c r="O29" s="14">
        <f>'Operating Summary (Annual)'!P5</f>
        <v>1930.33</v>
      </c>
      <c r="P29" s="14">
        <f>'Operating Summary (Annual)'!Q5</f>
        <v>2340.4250000000002</v>
      </c>
      <c r="Q29" s="14">
        <f>'Operating Summary (Annual)'!R5</f>
        <v>2061.819</v>
      </c>
    </row>
    <row r="30" spans="1:17" x14ac:dyDescent="0.25">
      <c r="A30" s="3" t="s">
        <v>94</v>
      </c>
      <c r="B30" s="10">
        <v>192</v>
      </c>
      <c r="C30" s="10">
        <v>253</v>
      </c>
      <c r="D30" s="10">
        <v>255</v>
      </c>
      <c r="E30" s="10">
        <v>254</v>
      </c>
      <c r="F30" s="10">
        <v>254</v>
      </c>
      <c r="G30" s="10">
        <v>254</v>
      </c>
      <c r="H30" s="10">
        <v>255</v>
      </c>
      <c r="I30" s="10">
        <v>254</v>
      </c>
      <c r="J30" s="10">
        <v>253</v>
      </c>
      <c r="K30" s="10">
        <v>254</v>
      </c>
      <c r="L30" s="10">
        <v>255</v>
      </c>
      <c r="M30" s="10">
        <v>254</v>
      </c>
      <c r="N30" s="10">
        <v>253</v>
      </c>
      <c r="O30" s="10">
        <v>254</v>
      </c>
      <c r="P30" s="10">
        <v>255</v>
      </c>
      <c r="Q30" s="10">
        <v>254</v>
      </c>
    </row>
    <row r="31" spans="1:17" x14ac:dyDescent="0.25">
      <c r="A31" s="3" t="s">
        <v>158</v>
      </c>
      <c r="B31" s="14">
        <f t="shared" ref="B31:G31" si="4">B29/B30</f>
        <v>27.526041666666668</v>
      </c>
      <c r="C31" s="14">
        <f t="shared" si="4"/>
        <v>23.758498023715415</v>
      </c>
      <c r="D31" s="14">
        <f t="shared" si="4"/>
        <v>22.146274509803924</v>
      </c>
      <c r="E31" s="14">
        <f t="shared" si="4"/>
        <v>20.998818897637793</v>
      </c>
      <c r="F31" s="14">
        <f t="shared" si="4"/>
        <v>19.547637795275591</v>
      </c>
      <c r="G31" s="14">
        <f t="shared" si="4"/>
        <v>17.285433070866141</v>
      </c>
      <c r="H31" s="14">
        <f>H29/H30</f>
        <v>15.537254901960784</v>
      </c>
      <c r="I31" s="14">
        <f t="shared" ref="I31:Q31" si="5">I29/I30</f>
        <v>15.233070866141732</v>
      </c>
      <c r="J31" s="14">
        <f t="shared" si="5"/>
        <v>14.756944664031622</v>
      </c>
      <c r="K31" s="14">
        <f t="shared" si="5"/>
        <v>13.094905511811024</v>
      </c>
      <c r="L31" s="14">
        <f t="shared" si="5"/>
        <v>12.288537254901962</v>
      </c>
      <c r="M31" s="14">
        <f t="shared" si="5"/>
        <v>10.893145669291338</v>
      </c>
      <c r="N31" s="14">
        <f t="shared" si="5"/>
        <v>8.9702411067193673</v>
      </c>
      <c r="O31" s="14">
        <f t="shared" si="5"/>
        <v>7.599724409448819</v>
      </c>
      <c r="P31" s="14">
        <f t="shared" si="5"/>
        <v>9.1781372549019622</v>
      </c>
      <c r="Q31" s="14">
        <f t="shared" si="5"/>
        <v>8.1173976377952748</v>
      </c>
    </row>
    <row r="32" spans="1:17" x14ac:dyDescent="0.25">
      <c r="H32" s="14"/>
      <c r="I32" s="14"/>
      <c r="J32" s="14"/>
      <c r="K32" s="14"/>
      <c r="L32" s="14"/>
      <c r="M32" s="14"/>
      <c r="N32" s="14"/>
      <c r="O32" s="14"/>
      <c r="P32" s="14"/>
      <c r="Q32" s="14"/>
    </row>
    <row r="33" spans="1:17" x14ac:dyDescent="0.25">
      <c r="A33" s="8" t="s">
        <v>95</v>
      </c>
      <c r="B33" s="8"/>
      <c r="C33" s="8"/>
      <c r="D33" s="8"/>
      <c r="E33" s="8"/>
      <c r="F33" s="8"/>
      <c r="G33" s="8"/>
      <c r="H33" s="10"/>
      <c r="I33" s="10"/>
      <c r="J33" s="10"/>
      <c r="K33" s="10"/>
      <c r="L33" s="10"/>
      <c r="M33" s="10"/>
      <c r="N33" s="10"/>
      <c r="O33" s="10"/>
      <c r="P33" s="10"/>
      <c r="Q33" s="10"/>
    </row>
    <row r="34" spans="1:17" x14ac:dyDescent="0.25">
      <c r="A34" s="3" t="s">
        <v>96</v>
      </c>
      <c r="B34" s="20">
        <v>0.34300000000000003</v>
      </c>
      <c r="C34" s="20">
        <v>0.33300000000000002</v>
      </c>
      <c r="D34" s="20">
        <v>0.29899999999999999</v>
      </c>
      <c r="E34" s="20">
        <v>0.34200000000000003</v>
      </c>
      <c r="F34" s="20">
        <v>0.34899999999999998</v>
      </c>
      <c r="G34" s="20">
        <v>0.35599999999999998</v>
      </c>
      <c r="H34" s="20">
        <v>0.36599999999999999</v>
      </c>
      <c r="I34" s="20">
        <v>0.38300000000000001</v>
      </c>
      <c r="J34" s="20">
        <v>0.40200000000000002</v>
      </c>
      <c r="K34" s="20">
        <v>0.42099999999999999</v>
      </c>
      <c r="L34" s="20">
        <v>0.44</v>
      </c>
      <c r="M34" s="20">
        <v>0.46899999999999997</v>
      </c>
      <c r="N34" s="20">
        <v>0.49099999999999999</v>
      </c>
      <c r="O34" s="20">
        <v>0.5</v>
      </c>
      <c r="P34" s="20">
        <v>0.51200000000000001</v>
      </c>
      <c r="Q34" s="20">
        <v>0.50700000000000001</v>
      </c>
    </row>
    <row r="35" spans="1:17" x14ac:dyDescent="0.25">
      <c r="A35" s="3" t="s">
        <v>97</v>
      </c>
      <c r="B35" s="20">
        <v>8.3000000000000004E-2</v>
      </c>
      <c r="C35" s="20">
        <v>8.5000000000000006E-2</v>
      </c>
      <c r="D35" s="20">
        <v>8.2000000000000003E-2</v>
      </c>
      <c r="E35" s="20">
        <v>9.9000000000000005E-2</v>
      </c>
      <c r="F35" s="20">
        <v>0.1</v>
      </c>
      <c r="G35" s="20">
        <v>0.10100000000000001</v>
      </c>
      <c r="H35" s="20">
        <v>9.9000000000000005E-2</v>
      </c>
      <c r="I35" s="20">
        <v>9.5000000000000001E-2</v>
      </c>
      <c r="J35" s="20">
        <v>9.2999999999999999E-2</v>
      </c>
      <c r="K35" s="20">
        <v>9.1999999999999998E-2</v>
      </c>
      <c r="L35" s="20">
        <v>9.2999999999999999E-2</v>
      </c>
      <c r="M35" s="20">
        <v>9.4E-2</v>
      </c>
      <c r="N35" s="20">
        <v>9.2999999999999999E-2</v>
      </c>
      <c r="O35" s="20">
        <v>9.9000000000000005E-2</v>
      </c>
      <c r="P35" s="20">
        <v>9.9000000000000005E-2</v>
      </c>
      <c r="Q35" s="20">
        <v>0.106</v>
      </c>
    </row>
    <row r="36" spans="1:17" x14ac:dyDescent="0.25">
      <c r="A36" s="3" t="s">
        <v>98</v>
      </c>
      <c r="B36" s="20">
        <v>0.05</v>
      </c>
      <c r="C36" s="20">
        <v>0.05</v>
      </c>
      <c r="D36" s="20">
        <v>4.7E-2</v>
      </c>
      <c r="E36" s="20">
        <v>5.7000000000000002E-2</v>
      </c>
      <c r="F36" s="20">
        <v>5.7000000000000002E-2</v>
      </c>
      <c r="G36" s="20">
        <v>5.8000000000000003E-2</v>
      </c>
      <c r="H36" s="20">
        <v>5.7000000000000002E-2</v>
      </c>
      <c r="I36" s="20">
        <v>5.6000000000000001E-2</v>
      </c>
      <c r="J36" s="20">
        <v>5.5E-2</v>
      </c>
      <c r="K36" s="20">
        <v>5.3999999999999999E-2</v>
      </c>
      <c r="L36" s="20">
        <v>5.0999999999999997E-2</v>
      </c>
      <c r="M36" s="20">
        <v>4.5999999999999999E-2</v>
      </c>
      <c r="N36" s="20">
        <v>4.3999999999999997E-2</v>
      </c>
      <c r="O36" s="20">
        <v>4.3999999999999997E-2</v>
      </c>
      <c r="P36" s="20">
        <v>4.4999999999999998E-2</v>
      </c>
      <c r="Q36" s="20">
        <v>4.5999999999999999E-2</v>
      </c>
    </row>
    <row r="37" spans="1:17" x14ac:dyDescent="0.25">
      <c r="A37" s="3" t="s">
        <v>99</v>
      </c>
      <c r="B37" s="20">
        <v>6.6000000000000003E-2</v>
      </c>
      <c r="C37" s="20">
        <v>6.4000000000000001E-2</v>
      </c>
      <c r="D37" s="20">
        <v>5.8999999999999997E-2</v>
      </c>
      <c r="E37" s="20">
        <v>6.8000000000000005E-2</v>
      </c>
      <c r="F37" s="20">
        <v>6.8000000000000005E-2</v>
      </c>
      <c r="G37" s="20">
        <v>6.8000000000000005E-2</v>
      </c>
      <c r="H37" s="20">
        <v>6.9000000000000006E-2</v>
      </c>
      <c r="I37" s="20">
        <v>7.1999999999999995E-2</v>
      </c>
      <c r="J37" s="20">
        <v>7.1999999999999995E-2</v>
      </c>
      <c r="K37" s="20">
        <v>7.2999999999999995E-2</v>
      </c>
      <c r="L37" s="20">
        <v>7.5999999999999998E-2</v>
      </c>
      <c r="M37" s="20">
        <v>7.8E-2</v>
      </c>
      <c r="N37" s="20">
        <v>7.1999999999999995E-2</v>
      </c>
      <c r="O37" s="20">
        <v>6.9000000000000006E-2</v>
      </c>
      <c r="P37" s="20">
        <v>6.6000000000000003E-2</v>
      </c>
      <c r="Q37" s="20">
        <v>6.5000000000000002E-2</v>
      </c>
    </row>
    <row r="38" spans="1:17" x14ac:dyDescent="0.25">
      <c r="A38" s="3" t="s">
        <v>100</v>
      </c>
      <c r="B38" s="20">
        <v>5.7000000000000002E-2</v>
      </c>
      <c r="C38" s="20">
        <v>5.6000000000000001E-2</v>
      </c>
      <c r="D38" s="20">
        <v>5.0999999999999997E-2</v>
      </c>
      <c r="E38" s="20">
        <v>5.8999999999999997E-2</v>
      </c>
      <c r="F38" s="20">
        <v>5.8000000000000003E-2</v>
      </c>
      <c r="G38" s="20">
        <v>6.3E-2</v>
      </c>
      <c r="H38" s="20">
        <v>6.4000000000000001E-2</v>
      </c>
      <c r="I38" s="20">
        <v>6.5000000000000002E-2</v>
      </c>
      <c r="J38" s="20">
        <v>6.0999999999999999E-2</v>
      </c>
      <c r="K38" s="20">
        <v>5.7000000000000002E-2</v>
      </c>
      <c r="L38" s="20">
        <v>0.06</v>
      </c>
      <c r="M38" s="20">
        <v>6.0999999999999999E-2</v>
      </c>
      <c r="N38" s="20">
        <v>6.0999999999999999E-2</v>
      </c>
      <c r="O38" s="20">
        <v>5.8999999999999997E-2</v>
      </c>
      <c r="P38" s="20">
        <v>5.8999999999999997E-2</v>
      </c>
      <c r="Q38" s="20">
        <v>6.0999999999999999E-2</v>
      </c>
    </row>
    <row r="39" spans="1:17" x14ac:dyDescent="0.25">
      <c r="A39" s="3" t="s">
        <v>101</v>
      </c>
      <c r="B39" s="20">
        <v>0.08</v>
      </c>
      <c r="C39" s="20">
        <v>8.2000000000000003E-2</v>
      </c>
      <c r="D39" s="20">
        <v>9.8000000000000004E-2</v>
      </c>
      <c r="E39" s="20">
        <v>7.8E-2</v>
      </c>
      <c r="F39" s="20">
        <v>7.5999999999999998E-2</v>
      </c>
      <c r="G39" s="20">
        <v>7.5999999999999998E-2</v>
      </c>
      <c r="H39" s="20">
        <v>7.5999999999999998E-2</v>
      </c>
      <c r="I39" s="20">
        <v>7.4999999999999997E-2</v>
      </c>
      <c r="J39" s="20">
        <v>7.2999999999999995E-2</v>
      </c>
      <c r="K39" s="20">
        <v>7.0000000000000007E-2</v>
      </c>
      <c r="L39" s="20">
        <v>6.6000000000000003E-2</v>
      </c>
      <c r="M39" s="20">
        <v>6.2E-2</v>
      </c>
      <c r="N39" s="20">
        <v>6.0999999999999999E-2</v>
      </c>
      <c r="O39" s="20">
        <v>6.0999999999999999E-2</v>
      </c>
      <c r="P39" s="20">
        <v>5.3999999999999999E-2</v>
      </c>
      <c r="Q39" s="20">
        <v>5.3999999999999999E-2</v>
      </c>
    </row>
    <row r="40" spans="1:17" x14ac:dyDescent="0.25">
      <c r="A40" s="3" t="s">
        <v>102</v>
      </c>
      <c r="B40" s="20">
        <v>4.3999999999999997E-2</v>
      </c>
      <c r="C40" s="20">
        <v>4.2999999999999997E-2</v>
      </c>
      <c r="D40" s="20">
        <v>4.1000000000000002E-2</v>
      </c>
      <c r="E40" s="20">
        <v>4.7E-2</v>
      </c>
      <c r="F40" s="20">
        <v>4.7E-2</v>
      </c>
      <c r="G40" s="20">
        <v>4.9000000000000002E-2</v>
      </c>
      <c r="H40" s="20">
        <v>4.8000000000000001E-2</v>
      </c>
      <c r="I40" s="20">
        <v>4.7E-2</v>
      </c>
      <c r="J40" s="20">
        <v>4.7E-2</v>
      </c>
      <c r="K40" s="20">
        <v>4.5999999999999999E-2</v>
      </c>
      <c r="L40" s="20">
        <v>4.7E-2</v>
      </c>
      <c r="M40" s="20">
        <v>4.7E-2</v>
      </c>
      <c r="N40" s="20">
        <v>4.5999999999999999E-2</v>
      </c>
      <c r="O40" s="20">
        <v>4.3999999999999997E-2</v>
      </c>
      <c r="P40" s="20">
        <v>4.2000000000000003E-2</v>
      </c>
      <c r="Q40" s="20">
        <v>4.1000000000000002E-2</v>
      </c>
    </row>
    <row r="41" spans="1:17" x14ac:dyDescent="0.25">
      <c r="A41" s="3" t="s">
        <v>103</v>
      </c>
      <c r="B41" s="20">
        <v>3.7999999999999999E-2</v>
      </c>
      <c r="C41" s="20">
        <v>3.7999999999999999E-2</v>
      </c>
      <c r="D41" s="20">
        <v>3.5000000000000003E-2</v>
      </c>
      <c r="E41" s="20">
        <v>4.2000000000000003E-2</v>
      </c>
      <c r="F41" s="20">
        <v>4.1000000000000002E-2</v>
      </c>
      <c r="G41" s="20">
        <v>4.5999999999999999E-2</v>
      </c>
      <c r="H41" s="20">
        <v>4.5999999999999999E-2</v>
      </c>
      <c r="I41" s="20">
        <v>4.7E-2</v>
      </c>
      <c r="J41" s="20">
        <v>4.7E-2</v>
      </c>
      <c r="K41" s="20">
        <v>4.4999999999999998E-2</v>
      </c>
      <c r="L41" s="20">
        <v>4.2999999999999997E-2</v>
      </c>
      <c r="M41" s="20">
        <v>3.9E-2</v>
      </c>
      <c r="N41" s="20">
        <v>3.5999999999999997E-2</v>
      </c>
      <c r="O41" s="20">
        <v>3.5999999999999997E-2</v>
      </c>
      <c r="P41" s="20">
        <v>3.5999999999999997E-2</v>
      </c>
      <c r="Q41" s="20">
        <v>3.5999999999999997E-2</v>
      </c>
    </row>
    <row r="42" spans="1:17" x14ac:dyDescent="0.25">
      <c r="A42" s="3" t="s">
        <v>104</v>
      </c>
      <c r="B42" s="20">
        <v>0.20599999999999999</v>
      </c>
      <c r="C42" s="20">
        <v>0.21199999999999999</v>
      </c>
      <c r="D42" s="20">
        <v>0.255</v>
      </c>
      <c r="E42" s="20">
        <v>0.17899999999999999</v>
      </c>
      <c r="F42" s="20">
        <v>0.17199999999999999</v>
      </c>
      <c r="G42" s="20">
        <v>0.152</v>
      </c>
      <c r="H42" s="20">
        <v>0.14899999999999999</v>
      </c>
      <c r="I42" s="20">
        <v>0.13900000000000001</v>
      </c>
      <c r="J42" s="20">
        <v>0.128</v>
      </c>
      <c r="K42" s="20">
        <v>0.112</v>
      </c>
      <c r="L42" s="20">
        <v>9.2999999999999999E-2</v>
      </c>
      <c r="M42" s="20">
        <v>7.9000000000000001E-2</v>
      </c>
      <c r="N42" s="20">
        <v>7.0000000000000007E-2</v>
      </c>
      <c r="O42" s="20">
        <v>6.3E-2</v>
      </c>
      <c r="P42" s="20">
        <v>5.8000000000000003E-2</v>
      </c>
      <c r="Q42" s="20">
        <v>5.7000000000000002E-2</v>
      </c>
    </row>
    <row r="43" spans="1:17" x14ac:dyDescent="0.25">
      <c r="A43" s="3" t="s">
        <v>105</v>
      </c>
      <c r="B43" s="120">
        <v>3.3000000000000002E-2</v>
      </c>
      <c r="C43" s="120">
        <v>3.6999999999999998E-2</v>
      </c>
      <c r="D43" s="120">
        <v>3.3000000000000002E-2</v>
      </c>
      <c r="E43" s="120">
        <v>2.9000000000000001E-2</v>
      </c>
      <c r="F43" s="120">
        <v>3.2000000000000001E-2</v>
      </c>
      <c r="G43" s="20">
        <v>5.0000000000000001E-3</v>
      </c>
      <c r="H43" s="20">
        <v>5.0000000000000001E-3</v>
      </c>
      <c r="I43" s="20">
        <v>5.0000000000000001E-3</v>
      </c>
      <c r="J43" s="20">
        <v>4.0000000000000001E-3</v>
      </c>
      <c r="K43" s="20">
        <v>5.0000000000000001E-3</v>
      </c>
      <c r="L43" s="20">
        <v>5.0000000000000001E-3</v>
      </c>
      <c r="M43" s="20">
        <v>5.0000000000000001E-3</v>
      </c>
      <c r="N43" s="20">
        <v>5.0000000000000001E-3</v>
      </c>
      <c r="O43" s="20">
        <v>6.0000000000000001E-3</v>
      </c>
      <c r="P43" s="20">
        <v>7.0000000000000001E-3</v>
      </c>
      <c r="Q43" s="20">
        <v>7.0000000000000001E-3</v>
      </c>
    </row>
    <row r="44" spans="1:17" x14ac:dyDescent="0.25">
      <c r="A44" s="3" t="s">
        <v>106</v>
      </c>
      <c r="B44" s="120"/>
      <c r="C44" s="120"/>
      <c r="D44" s="120"/>
      <c r="E44" s="120"/>
      <c r="F44" s="120"/>
      <c r="G44" s="20">
        <v>5.0000000000000001E-3</v>
      </c>
      <c r="H44" s="20">
        <v>5.0000000000000001E-3</v>
      </c>
      <c r="I44" s="20">
        <v>4.0000000000000001E-3</v>
      </c>
      <c r="J44" s="20">
        <v>0.01</v>
      </c>
      <c r="K44" s="20">
        <v>1.4999999999999999E-2</v>
      </c>
      <c r="L44" s="20">
        <v>1.6E-2</v>
      </c>
      <c r="M44" s="20">
        <v>1.6E-2</v>
      </c>
      <c r="N44" s="20">
        <v>1.6E-2</v>
      </c>
      <c r="O44" s="20">
        <v>1.7999999999999999E-2</v>
      </c>
      <c r="P44" s="20">
        <v>0.02</v>
      </c>
      <c r="Q44" s="20">
        <v>1.7999999999999999E-2</v>
      </c>
    </row>
    <row r="45" spans="1:17" x14ac:dyDescent="0.25">
      <c r="A45" s="3" t="s">
        <v>107</v>
      </c>
      <c r="B45" s="120"/>
      <c r="C45" s="120"/>
      <c r="D45" s="120"/>
      <c r="E45" s="120"/>
      <c r="F45" s="120"/>
      <c r="G45" s="20">
        <v>1E-3</v>
      </c>
      <c r="H45" s="20">
        <v>1E-3</v>
      </c>
      <c r="I45" s="20">
        <v>1E-3</v>
      </c>
      <c r="J45" s="20">
        <v>1E-3</v>
      </c>
      <c r="K45" s="20">
        <v>1E-3</v>
      </c>
      <c r="L45" s="20">
        <v>1E-3</v>
      </c>
      <c r="M45" s="20">
        <v>1E-3</v>
      </c>
      <c r="N45" s="20">
        <v>1E-3</v>
      </c>
      <c r="O45" s="20">
        <v>0</v>
      </c>
      <c r="P45" s="20">
        <v>0</v>
      </c>
      <c r="Q45" s="20">
        <v>0</v>
      </c>
    </row>
    <row r="46" spans="1:17" x14ac:dyDescent="0.25">
      <c r="A46" s="3" t="s">
        <v>38</v>
      </c>
      <c r="B46" s="121"/>
      <c r="C46" s="121"/>
      <c r="D46" s="121"/>
      <c r="E46" s="121"/>
      <c r="F46" s="121"/>
      <c r="G46" s="20">
        <v>0.02</v>
      </c>
      <c r="H46" s="20">
        <v>1.4999999999999999E-2</v>
      </c>
      <c r="I46" s="20">
        <v>1.0999999999999999E-2</v>
      </c>
      <c r="J46" s="20">
        <v>7.0000000000000001E-3</v>
      </c>
      <c r="K46" s="20">
        <v>8.9999999999999993E-3</v>
      </c>
      <c r="L46" s="20">
        <v>8.9999999999999993E-3</v>
      </c>
      <c r="M46" s="20">
        <v>3.0000000000000001E-3</v>
      </c>
      <c r="N46" s="20">
        <v>4.0000000000000001E-3</v>
      </c>
      <c r="O46" s="20">
        <v>1E-3</v>
      </c>
      <c r="P46" s="20">
        <v>2E-3</v>
      </c>
      <c r="Q46" s="20">
        <v>2E-3</v>
      </c>
    </row>
    <row r="47" spans="1:17" ht="20" thickBot="1" x14ac:dyDescent="0.3">
      <c r="A47" s="8" t="s">
        <v>22</v>
      </c>
      <c r="B47" s="31">
        <f t="shared" ref="B47:G47" si="6">SUM(B34:B46)</f>
        <v>1</v>
      </c>
      <c r="C47" s="31">
        <f t="shared" si="6"/>
        <v>1</v>
      </c>
      <c r="D47" s="31">
        <f t="shared" si="6"/>
        <v>1</v>
      </c>
      <c r="E47" s="31">
        <f t="shared" si="6"/>
        <v>1</v>
      </c>
      <c r="F47" s="31">
        <f t="shared" si="6"/>
        <v>1.0000000000000002</v>
      </c>
      <c r="G47" s="31">
        <f t="shared" si="6"/>
        <v>1</v>
      </c>
      <c r="H47" s="31">
        <f>SUM(H34:H46)</f>
        <v>1</v>
      </c>
      <c r="I47" s="31">
        <f t="shared" ref="I47:Q47" si="7">SUM(I34:I46)</f>
        <v>1</v>
      </c>
      <c r="J47" s="31">
        <f t="shared" si="7"/>
        <v>1</v>
      </c>
      <c r="K47" s="31">
        <f t="shared" si="7"/>
        <v>1.0000000000000002</v>
      </c>
      <c r="L47" s="31">
        <f t="shared" si="7"/>
        <v>1</v>
      </c>
      <c r="M47" s="31">
        <f t="shared" si="7"/>
        <v>1</v>
      </c>
      <c r="N47" s="31">
        <f t="shared" si="7"/>
        <v>1</v>
      </c>
      <c r="O47" s="31">
        <f t="shared" si="7"/>
        <v>0.99999999999999989</v>
      </c>
      <c r="P47" s="31">
        <f t="shared" si="7"/>
        <v>1</v>
      </c>
      <c r="Q47" s="31">
        <f t="shared" si="7"/>
        <v>1</v>
      </c>
    </row>
    <row r="48" spans="1:17" ht="20" thickTop="1" x14ac:dyDescent="0.25"/>
    <row r="49" spans="1:17" x14ac:dyDescent="0.25">
      <c r="A49" s="8" t="s">
        <v>20</v>
      </c>
      <c r="B49" s="16">
        <f>'Operating Summary (Annual)'!B20</f>
        <v>0.46308420056764427</v>
      </c>
      <c r="C49" s="16">
        <f>'Operating Summary (Annual)'!D20</f>
        <v>0.46202731704070937</v>
      </c>
      <c r="D49" s="16">
        <f>'Operating Summary (Annual)'!E20</f>
        <v>0.4546951640607016</v>
      </c>
      <c r="E49" s="16">
        <f>'Operating Summary (Annual)'!F20</f>
        <v>0.4716050771509458</v>
      </c>
      <c r="F49" s="16">
        <f>'Operating Summary (Annual)'!G20</f>
        <v>0.4831524037783731</v>
      </c>
      <c r="G49" s="16">
        <f>'Operating Summary (Annual)'!H20</f>
        <v>0.49279125384352579</v>
      </c>
      <c r="H49" s="16">
        <f>'Operating Summary (Annual)'!I20</f>
        <v>0.49591115598182733</v>
      </c>
      <c r="I49" s="16">
        <f>'Operating Summary (Annual)'!J20</f>
        <v>0.50369585444019438</v>
      </c>
      <c r="J49" s="16">
        <f>'Operating Summary (Annual)'!K20</f>
        <v>0.50820903777601056</v>
      </c>
      <c r="K49" s="16">
        <f>'Operating Summary (Annual)'!L20</f>
        <v>0.51695436044431542</v>
      </c>
      <c r="L49" s="16">
        <f>'Operating Summary (Annual)'!M20</f>
        <v>0.51523354939099952</v>
      </c>
      <c r="M49" s="16">
        <f>'Operating Summary (Annual)'!N20</f>
        <v>0.51833938773172039</v>
      </c>
      <c r="N49" s="16">
        <f>'Operating Summary (Annual)'!O20</f>
        <v>0.51766953620469269</v>
      </c>
      <c r="O49" s="16">
        <f>'Operating Summary (Annual)'!P20</f>
        <v>0.50946470292644264</v>
      </c>
      <c r="P49" s="16">
        <f>'Operating Summary (Annual)'!Q20</f>
        <v>0.52814852003375456</v>
      </c>
      <c r="Q49" s="16">
        <f>'Operating Summary (Annual)'!R20</f>
        <v>0.50808242624595079</v>
      </c>
    </row>
    <row r="50" spans="1:17" x14ac:dyDescent="0.25">
      <c r="A50" s="8"/>
      <c r="B50" s="8"/>
      <c r="C50" s="8"/>
      <c r="D50" s="8"/>
      <c r="E50" s="8"/>
      <c r="F50" s="8"/>
      <c r="G50" s="8"/>
      <c r="H50" s="8"/>
      <c r="I50" s="8"/>
      <c r="J50" s="8"/>
      <c r="K50" s="8"/>
      <c r="L50" s="8"/>
      <c r="M50" s="8"/>
      <c r="N50" s="8"/>
      <c r="O50" s="8"/>
      <c r="P50" s="8"/>
      <c r="Q50" s="8"/>
    </row>
    <row r="55" spans="1:17" x14ac:dyDescent="0.25">
      <c r="A55" s="8" t="s">
        <v>160</v>
      </c>
      <c r="B55" s="8"/>
      <c r="C55" s="8"/>
      <c r="D55" s="8"/>
      <c r="E55" s="8"/>
      <c r="F55" s="8"/>
      <c r="G55" s="8"/>
    </row>
    <row r="56" spans="1:17" x14ac:dyDescent="0.25">
      <c r="A56" s="3" t="s">
        <v>21</v>
      </c>
      <c r="B56" s="14">
        <v>4445.1000000000004</v>
      </c>
      <c r="C56" s="14">
        <v>5033.3</v>
      </c>
      <c r="D56" s="14">
        <v>4825.3</v>
      </c>
      <c r="E56" s="14">
        <v>4568.8999999999996</v>
      </c>
      <c r="F56" s="14">
        <v>4285.5</v>
      </c>
      <c r="G56" s="14">
        <v>3842.9</v>
      </c>
      <c r="H56" s="14">
        <v>3493.5</v>
      </c>
      <c r="I56" s="14">
        <v>3441.1</v>
      </c>
      <c r="J56" s="14">
        <v>3308.2260000000001</v>
      </c>
      <c r="K56" s="14">
        <v>2951.6729999999998</v>
      </c>
      <c r="L56" s="14">
        <v>2798.1239999999998</v>
      </c>
      <c r="M56" s="14">
        <v>2474.8049999999998</v>
      </c>
      <c r="N56" s="14">
        <v>2067.86</v>
      </c>
      <c r="O56" s="14">
        <v>1769.9380000000001</v>
      </c>
      <c r="P56" s="14">
        <v>2144.8090000000002</v>
      </c>
      <c r="Q56" s="14">
        <v>1902.066</v>
      </c>
    </row>
    <row r="57" spans="1:17" x14ac:dyDescent="0.25">
      <c r="A57" s="3" t="s">
        <v>161</v>
      </c>
      <c r="B57" s="14">
        <v>666.5</v>
      </c>
      <c r="C57" s="14">
        <v>749</v>
      </c>
      <c r="D57" s="14">
        <v>625</v>
      </c>
      <c r="E57" s="14">
        <v>606.79999999999995</v>
      </c>
      <c r="F57" s="14">
        <v>530.79999999999995</v>
      </c>
      <c r="G57" s="14">
        <v>432.3</v>
      </c>
      <c r="H57" s="115" t="s">
        <v>164</v>
      </c>
      <c r="I57" s="116"/>
      <c r="J57" s="116"/>
      <c r="K57" s="116"/>
      <c r="L57" s="116"/>
      <c r="M57" s="116"/>
      <c r="N57" s="116"/>
      <c r="O57" s="116"/>
      <c r="P57" s="116"/>
      <c r="Q57" s="117"/>
    </row>
    <row r="58" spans="1:17" x14ac:dyDescent="0.25">
      <c r="A58" s="3" t="s">
        <v>92</v>
      </c>
      <c r="B58" s="115" t="s">
        <v>163</v>
      </c>
      <c r="C58" s="116"/>
      <c r="D58" s="116"/>
      <c r="E58" s="116"/>
      <c r="F58" s="116"/>
      <c r="G58" s="117"/>
      <c r="H58" s="14">
        <v>228.7</v>
      </c>
      <c r="I58" s="14">
        <v>223.3</v>
      </c>
      <c r="J58" s="14">
        <v>238.59</v>
      </c>
      <c r="K58" s="14">
        <v>227.756</v>
      </c>
      <c r="L58" s="14">
        <v>218.57</v>
      </c>
      <c r="M58" s="14">
        <v>198.59200000000001</v>
      </c>
      <c r="N58" s="14">
        <v>145.078</v>
      </c>
      <c r="O58" s="14">
        <v>115.32299999999999</v>
      </c>
      <c r="P58" s="14">
        <v>145.44300000000001</v>
      </c>
      <c r="Q58" s="14">
        <v>124.03700000000001</v>
      </c>
    </row>
    <row r="59" spans="1:17" x14ac:dyDescent="0.25">
      <c r="A59" s="3" t="s">
        <v>162</v>
      </c>
      <c r="B59" s="14">
        <v>173.4</v>
      </c>
      <c r="C59" s="14">
        <v>228.6</v>
      </c>
      <c r="D59" s="14">
        <v>197</v>
      </c>
      <c r="E59" s="14">
        <v>158</v>
      </c>
      <c r="F59" s="14">
        <v>148.80000000000001</v>
      </c>
      <c r="G59" s="14">
        <v>115.3</v>
      </c>
      <c r="H59" s="14">
        <v>239.8</v>
      </c>
      <c r="I59" s="14">
        <v>204.8</v>
      </c>
      <c r="J59" s="14">
        <v>186.691</v>
      </c>
      <c r="K59" s="14">
        <v>146.67699999999999</v>
      </c>
      <c r="L59" s="14">
        <v>116.883</v>
      </c>
      <c r="M59" s="14">
        <v>93.462000000000003</v>
      </c>
      <c r="N59" s="14">
        <v>56.533000000000001</v>
      </c>
      <c r="O59" s="14">
        <v>45.069000000000003</v>
      </c>
      <c r="P59" s="14">
        <v>50.173000000000002</v>
      </c>
      <c r="Q59" s="14">
        <v>35.716000000000001</v>
      </c>
    </row>
    <row r="60" spans="1:17" ht="20" thickBot="1" x14ac:dyDescent="0.3">
      <c r="A60" s="8" t="s">
        <v>22</v>
      </c>
      <c r="B60" s="39">
        <f t="shared" ref="B60:Q60" si="8">SUM(B56:B59)</f>
        <v>5285</v>
      </c>
      <c r="C60" s="39">
        <f t="shared" si="8"/>
        <v>6010.9000000000005</v>
      </c>
      <c r="D60" s="39">
        <f t="shared" si="8"/>
        <v>5647.3</v>
      </c>
      <c r="E60" s="39">
        <f t="shared" si="8"/>
        <v>5333.7</v>
      </c>
      <c r="F60" s="39">
        <f t="shared" si="8"/>
        <v>4965.1000000000004</v>
      </c>
      <c r="G60" s="39">
        <f t="shared" si="8"/>
        <v>4390.5</v>
      </c>
      <c r="H60" s="39">
        <f t="shared" si="8"/>
        <v>3962</v>
      </c>
      <c r="I60" s="39">
        <f t="shared" si="8"/>
        <v>3869.2000000000003</v>
      </c>
      <c r="J60" s="39">
        <f t="shared" si="8"/>
        <v>3733.5070000000001</v>
      </c>
      <c r="K60" s="39">
        <f t="shared" si="8"/>
        <v>3326.1059999999998</v>
      </c>
      <c r="L60" s="39">
        <f t="shared" si="8"/>
        <v>3133.5769999999998</v>
      </c>
      <c r="M60" s="39">
        <f t="shared" si="8"/>
        <v>2766.8589999999999</v>
      </c>
      <c r="N60" s="39">
        <f t="shared" si="8"/>
        <v>2269.471</v>
      </c>
      <c r="O60" s="39">
        <f t="shared" si="8"/>
        <v>1930.3300000000002</v>
      </c>
      <c r="P60" s="39">
        <f t="shared" si="8"/>
        <v>2340.4250000000002</v>
      </c>
      <c r="Q60" s="39">
        <f t="shared" si="8"/>
        <v>2061.819</v>
      </c>
    </row>
    <row r="61" spans="1:17" ht="20" thickTop="1" x14ac:dyDescent="0.25">
      <c r="B61" s="14"/>
      <c r="C61" s="14"/>
      <c r="D61" s="14"/>
      <c r="E61" s="14"/>
      <c r="F61" s="14"/>
      <c r="G61" s="14"/>
      <c r="H61" s="14"/>
      <c r="I61" s="14"/>
      <c r="J61" s="14"/>
      <c r="K61" s="14"/>
      <c r="L61" s="14"/>
      <c r="M61" s="14"/>
      <c r="N61" s="14"/>
      <c r="O61" s="14"/>
      <c r="P61" s="14"/>
      <c r="Q61" s="14"/>
    </row>
    <row r="62" spans="1:17" x14ac:dyDescent="0.25">
      <c r="A62" s="8" t="s">
        <v>109</v>
      </c>
      <c r="B62" s="8"/>
      <c r="C62" s="8"/>
      <c r="D62" s="8"/>
      <c r="E62" s="8"/>
      <c r="F62" s="8"/>
      <c r="G62" s="8"/>
      <c r="H62" s="10"/>
      <c r="I62" s="10"/>
      <c r="J62" s="10"/>
      <c r="K62" s="10"/>
      <c r="L62" s="10"/>
      <c r="M62" s="10"/>
      <c r="N62" s="10"/>
      <c r="O62" s="10"/>
      <c r="P62" s="10"/>
      <c r="Q62" s="10"/>
    </row>
    <row r="63" spans="1:17" x14ac:dyDescent="0.25">
      <c r="A63" s="3" t="s">
        <v>21</v>
      </c>
      <c r="B63" s="13">
        <f>B56/B60</f>
        <v>0.84107852412488182</v>
      </c>
      <c r="C63" s="13">
        <f t="shared" ref="C63:Q63" si="9">C56/C60</f>
        <v>0.83736212547205902</v>
      </c>
      <c r="D63" s="13">
        <f t="shared" si="9"/>
        <v>0.85444371646627593</v>
      </c>
      <c r="E63" s="13">
        <f t="shared" si="9"/>
        <v>0.85660985807225754</v>
      </c>
      <c r="F63" s="13">
        <f t="shared" si="9"/>
        <v>0.86312460977623806</v>
      </c>
      <c r="G63" s="13">
        <f t="shared" si="9"/>
        <v>0.8752761644459629</v>
      </c>
      <c r="H63" s="13">
        <f t="shared" si="9"/>
        <v>0.88175164058556288</v>
      </c>
      <c r="I63" s="13">
        <f t="shared" si="9"/>
        <v>0.88935697301767802</v>
      </c>
      <c r="J63" s="13">
        <f t="shared" si="9"/>
        <v>0.88609074524301146</v>
      </c>
      <c r="K63" s="13">
        <f t="shared" si="9"/>
        <v>0.88742601709025504</v>
      </c>
      <c r="L63" s="13">
        <f t="shared" si="9"/>
        <v>0.89294885684953651</v>
      </c>
      <c r="M63" s="13">
        <f t="shared" si="9"/>
        <v>0.89444565118786312</v>
      </c>
      <c r="N63" s="13">
        <f t="shared" si="9"/>
        <v>0.91116387915950459</v>
      </c>
      <c r="O63" s="13">
        <f t="shared" si="9"/>
        <v>0.91690954396398539</v>
      </c>
      <c r="P63" s="13">
        <f t="shared" si="9"/>
        <v>0.91641859918604529</v>
      </c>
      <c r="Q63" s="13">
        <f t="shared" si="9"/>
        <v>0.92251841699004622</v>
      </c>
    </row>
    <row r="64" spans="1:17" x14ac:dyDescent="0.25">
      <c r="A64" s="3" t="s">
        <v>161</v>
      </c>
      <c r="B64" s="13">
        <f>B57/B60</f>
        <v>0.1261116367076632</v>
      </c>
      <c r="C64" s="13">
        <f t="shared" ref="C64:G64" si="10">C57/C60</f>
        <v>0.12460696401537207</v>
      </c>
      <c r="D64" s="13">
        <f t="shared" si="10"/>
        <v>0.11067235670143254</v>
      </c>
      <c r="E64" s="13">
        <f t="shared" si="10"/>
        <v>0.11376717850647768</v>
      </c>
      <c r="F64" s="13">
        <f t="shared" si="10"/>
        <v>0.10690620531308531</v>
      </c>
      <c r="G64" s="13">
        <f t="shared" si="10"/>
        <v>9.8462589682268536E-2</v>
      </c>
      <c r="H64" s="115" t="s">
        <v>164</v>
      </c>
      <c r="I64" s="116"/>
      <c r="J64" s="116"/>
      <c r="K64" s="116"/>
      <c r="L64" s="116"/>
      <c r="M64" s="116"/>
      <c r="N64" s="116"/>
      <c r="O64" s="116"/>
      <c r="P64" s="116"/>
      <c r="Q64" s="117"/>
    </row>
    <row r="65" spans="1:17" x14ac:dyDescent="0.25">
      <c r="A65" s="3" t="s">
        <v>92</v>
      </c>
      <c r="B65" s="115" t="s">
        <v>163</v>
      </c>
      <c r="C65" s="116"/>
      <c r="D65" s="116"/>
      <c r="E65" s="116"/>
      <c r="F65" s="116"/>
      <c r="G65" s="117"/>
      <c r="H65" s="13">
        <f t="shared" ref="H65:Q65" si="11">H58/H60</f>
        <v>5.7723372034326093E-2</v>
      </c>
      <c r="I65" s="13">
        <f t="shared" si="11"/>
        <v>5.7712188566111856E-2</v>
      </c>
      <c r="J65" s="13">
        <f t="shared" si="11"/>
        <v>6.3905062987694952E-2</v>
      </c>
      <c r="K65" s="13">
        <f t="shared" si="11"/>
        <v>6.8475268076242921E-2</v>
      </c>
      <c r="L65" s="13">
        <f t="shared" si="11"/>
        <v>6.9750958728635043E-2</v>
      </c>
      <c r="M65" s="13">
        <f t="shared" si="11"/>
        <v>7.1775251286747901E-2</v>
      </c>
      <c r="N65" s="13">
        <f t="shared" si="11"/>
        <v>6.392591048751009E-2</v>
      </c>
      <c r="O65" s="13">
        <f t="shared" si="11"/>
        <v>5.9742634679044504E-2</v>
      </c>
      <c r="P65" s="13">
        <f t="shared" si="11"/>
        <v>6.2143841396327587E-2</v>
      </c>
      <c r="Q65" s="13">
        <f t="shared" si="11"/>
        <v>6.0159014928080498E-2</v>
      </c>
    </row>
    <row r="66" spans="1:17" x14ac:dyDescent="0.25">
      <c r="A66" s="3" t="s">
        <v>108</v>
      </c>
      <c r="B66" s="13">
        <f>B59/B60</f>
        <v>3.2809839167455064E-2</v>
      </c>
      <c r="C66" s="13">
        <f t="shared" ref="C66:Q66" si="12">C59/C60</f>
        <v>3.8030910512568829E-2</v>
      </c>
      <c r="D66" s="13">
        <f t="shared" si="12"/>
        <v>3.4883926832291537E-2</v>
      </c>
      <c r="E66" s="13">
        <f t="shared" si="12"/>
        <v>2.9622963421264789E-2</v>
      </c>
      <c r="F66" s="13">
        <f t="shared" si="12"/>
        <v>2.9969184910676523E-2</v>
      </c>
      <c r="G66" s="13">
        <f t="shared" si="12"/>
        <v>2.626124587176859E-2</v>
      </c>
      <c r="H66" s="13">
        <f t="shared" si="12"/>
        <v>6.0524987380111056E-2</v>
      </c>
      <c r="I66" s="13">
        <f t="shared" si="12"/>
        <v>5.2930838416210067E-2</v>
      </c>
      <c r="J66" s="13">
        <f t="shared" si="12"/>
        <v>5.0004191769293591E-2</v>
      </c>
      <c r="K66" s="13">
        <f t="shared" si="12"/>
        <v>4.4098714833502001E-2</v>
      </c>
      <c r="L66" s="13">
        <f t="shared" si="12"/>
        <v>3.7300184421828475E-2</v>
      </c>
      <c r="M66" s="13">
        <f t="shared" si="12"/>
        <v>3.37790975253889E-2</v>
      </c>
      <c r="N66" s="13">
        <f t="shared" si="12"/>
        <v>2.4910210352985344E-2</v>
      </c>
      <c r="O66" s="13">
        <f t="shared" si="12"/>
        <v>2.3347821356970052E-2</v>
      </c>
      <c r="P66" s="13">
        <f t="shared" si="12"/>
        <v>2.143755941762714E-2</v>
      </c>
      <c r="Q66" s="13">
        <f t="shared" si="12"/>
        <v>1.7322568081873338E-2</v>
      </c>
    </row>
    <row r="67" spans="1:17" ht="20" thickBot="1" x14ac:dyDescent="0.3">
      <c r="A67" s="8" t="s">
        <v>22</v>
      </c>
      <c r="B67" s="32">
        <f>SUM(B63:B66)</f>
        <v>1.0000000000000002</v>
      </c>
      <c r="C67" s="32">
        <f t="shared" ref="C67:Q67" si="13">SUM(C63:C66)</f>
        <v>0.99999999999999989</v>
      </c>
      <c r="D67" s="32">
        <f t="shared" si="13"/>
        <v>1</v>
      </c>
      <c r="E67" s="32">
        <f t="shared" si="13"/>
        <v>1</v>
      </c>
      <c r="F67" s="32">
        <f t="shared" si="13"/>
        <v>0.99999999999999989</v>
      </c>
      <c r="G67" s="32">
        <f t="shared" si="13"/>
        <v>1</v>
      </c>
      <c r="H67" s="32">
        <f t="shared" si="13"/>
        <v>1</v>
      </c>
      <c r="I67" s="32">
        <f t="shared" si="13"/>
        <v>0.99999999999999989</v>
      </c>
      <c r="J67" s="32">
        <f t="shared" si="13"/>
        <v>1</v>
      </c>
      <c r="K67" s="32">
        <f t="shared" si="13"/>
        <v>1</v>
      </c>
      <c r="L67" s="32">
        <f t="shared" si="13"/>
        <v>1</v>
      </c>
      <c r="M67" s="32">
        <f t="shared" si="13"/>
        <v>0.99999999999999989</v>
      </c>
      <c r="N67" s="32">
        <f t="shared" si="13"/>
        <v>1</v>
      </c>
      <c r="O67" s="32">
        <f t="shared" si="13"/>
        <v>0.99999999999999989</v>
      </c>
      <c r="P67" s="32">
        <f t="shared" si="13"/>
        <v>1</v>
      </c>
      <c r="Q67" s="32">
        <f t="shared" si="13"/>
        <v>1</v>
      </c>
    </row>
    <row r="68" spans="1:17" ht="20" thickTop="1" x14ac:dyDescent="0.25"/>
    <row r="69" spans="1:17" x14ac:dyDescent="0.25">
      <c r="A69" s="8" t="s">
        <v>169</v>
      </c>
      <c r="B69" s="14"/>
      <c r="C69" s="14"/>
      <c r="D69" s="14"/>
      <c r="E69" s="14"/>
      <c r="F69" s="14"/>
      <c r="G69" s="14"/>
      <c r="H69" s="14"/>
      <c r="I69" s="14"/>
      <c r="J69" s="14"/>
      <c r="K69" s="14"/>
      <c r="L69" s="14"/>
      <c r="M69" s="14"/>
      <c r="N69" s="14"/>
      <c r="O69" s="14"/>
      <c r="P69" s="14"/>
      <c r="Q69" s="14"/>
    </row>
    <row r="70" spans="1:17" ht="19" customHeight="1" x14ac:dyDescent="0.25">
      <c r="A70" s="3" t="s">
        <v>165</v>
      </c>
      <c r="B70" s="137" t="s">
        <v>171</v>
      </c>
      <c r="C70" s="14">
        <v>3726.2</v>
      </c>
      <c r="D70" s="14">
        <v>3587.1</v>
      </c>
      <c r="E70" s="14">
        <v>3660.1</v>
      </c>
      <c r="F70" s="14">
        <v>3625.8</v>
      </c>
      <c r="G70" s="14">
        <v>3399.6</v>
      </c>
      <c r="H70" s="14">
        <v>3198.1</v>
      </c>
      <c r="I70" s="14">
        <v>3281.8</v>
      </c>
      <c r="J70" s="14">
        <v>3225.3</v>
      </c>
      <c r="K70" s="38"/>
      <c r="L70" s="38"/>
      <c r="M70" s="14"/>
      <c r="N70" s="14"/>
      <c r="O70" s="14"/>
      <c r="P70" s="14"/>
      <c r="Q70" s="14"/>
    </row>
    <row r="71" spans="1:17" x14ac:dyDescent="0.25">
      <c r="A71" s="3" t="s">
        <v>166</v>
      </c>
      <c r="B71" s="138"/>
      <c r="C71" s="14">
        <v>1898</v>
      </c>
      <c r="D71" s="14">
        <v>1485.6</v>
      </c>
      <c r="E71" s="14">
        <v>1391.7</v>
      </c>
      <c r="F71" s="14">
        <v>1081.7</v>
      </c>
      <c r="G71" s="14">
        <v>770.2</v>
      </c>
      <c r="H71" s="14">
        <v>569.20000000000005</v>
      </c>
      <c r="I71" s="14">
        <v>454.3</v>
      </c>
      <c r="J71" s="14">
        <v>387.7</v>
      </c>
      <c r="K71" s="38"/>
      <c r="L71" s="38"/>
      <c r="M71" s="14"/>
      <c r="N71" s="14"/>
      <c r="O71" s="14"/>
      <c r="P71" s="14"/>
      <c r="Q71" s="14"/>
    </row>
    <row r="72" spans="1:17" x14ac:dyDescent="0.25">
      <c r="A72" s="3" t="s">
        <v>168</v>
      </c>
      <c r="B72" s="138"/>
      <c r="C72" s="14">
        <v>386.7</v>
      </c>
      <c r="D72" s="14">
        <v>574.6</v>
      </c>
      <c r="E72" s="14">
        <v>281.89999999999998</v>
      </c>
      <c r="F72" s="14">
        <v>257.60000000000002</v>
      </c>
      <c r="G72" s="14">
        <v>220.7</v>
      </c>
      <c r="H72" s="14">
        <v>194.7</v>
      </c>
      <c r="I72" s="14">
        <v>133.1</v>
      </c>
      <c r="J72" s="14">
        <v>120.5</v>
      </c>
      <c r="K72" s="38"/>
      <c r="L72" s="38"/>
      <c r="M72" s="14"/>
      <c r="N72" s="14"/>
      <c r="O72" s="14"/>
      <c r="P72" s="14"/>
      <c r="Q72" s="14"/>
    </row>
    <row r="73" spans="1:17" ht="20" thickBot="1" x14ac:dyDescent="0.3">
      <c r="A73" s="8" t="s">
        <v>167</v>
      </c>
      <c r="B73" s="139"/>
      <c r="C73" s="39">
        <f t="shared" ref="C73:J73" si="14">SUM(C70:C72)</f>
        <v>6010.9</v>
      </c>
      <c r="D73" s="39">
        <f t="shared" si="14"/>
        <v>5647.3</v>
      </c>
      <c r="E73" s="39">
        <f t="shared" si="14"/>
        <v>5333.7</v>
      </c>
      <c r="F73" s="39">
        <f t="shared" si="14"/>
        <v>4965.1000000000004</v>
      </c>
      <c r="G73" s="39">
        <f t="shared" si="14"/>
        <v>4390.5</v>
      </c>
      <c r="H73" s="39">
        <f t="shared" si="14"/>
        <v>3962</v>
      </c>
      <c r="I73" s="39">
        <f t="shared" si="14"/>
        <v>3869.2000000000003</v>
      </c>
      <c r="J73" s="39">
        <f t="shared" si="14"/>
        <v>3733.5</v>
      </c>
      <c r="K73" s="38"/>
      <c r="L73" s="38"/>
      <c r="M73" s="14"/>
      <c r="N73" s="14"/>
      <c r="O73" s="14"/>
      <c r="P73" s="14"/>
      <c r="Q73" s="14"/>
    </row>
    <row r="74" spans="1:17" ht="20" thickTop="1" x14ac:dyDescent="0.25">
      <c r="B74" s="14"/>
      <c r="C74" s="14"/>
      <c r="D74" s="14"/>
      <c r="E74" s="14"/>
      <c r="F74" s="14"/>
      <c r="G74" s="14"/>
      <c r="H74" s="14"/>
      <c r="I74" s="14"/>
      <c r="J74" s="14"/>
      <c r="K74" s="14"/>
      <c r="L74" s="14"/>
      <c r="M74" s="14"/>
      <c r="N74" s="14"/>
      <c r="O74" s="14"/>
      <c r="P74" s="14"/>
      <c r="Q74" s="14"/>
    </row>
    <row r="75" spans="1:17" x14ac:dyDescent="0.25">
      <c r="A75" s="8" t="s">
        <v>170</v>
      </c>
      <c r="B75" s="20"/>
      <c r="C75" s="20"/>
      <c r="D75" s="20"/>
      <c r="E75" s="20"/>
      <c r="F75" s="20"/>
      <c r="G75" s="20"/>
      <c r="H75" s="20"/>
      <c r="I75" s="20"/>
      <c r="J75" s="20"/>
      <c r="K75" s="14"/>
      <c r="L75" s="14"/>
      <c r="M75" s="14"/>
      <c r="N75" s="14"/>
      <c r="O75" s="14"/>
      <c r="P75" s="14"/>
      <c r="Q75" s="14"/>
    </row>
    <row r="76" spans="1:17" ht="19" customHeight="1" x14ac:dyDescent="0.25">
      <c r="A76" s="3" t="s">
        <v>165</v>
      </c>
      <c r="B76" s="137" t="s">
        <v>171</v>
      </c>
      <c r="C76" s="20">
        <f t="shared" ref="C76:J76" si="15">C70/C73</f>
        <v>0.61990716864363071</v>
      </c>
      <c r="D76" s="20">
        <f t="shared" si="15"/>
        <v>0.6351884971579338</v>
      </c>
      <c r="E76" s="20">
        <f t="shared" si="15"/>
        <v>0.68622157226690661</v>
      </c>
      <c r="F76" s="20">
        <f t="shared" si="15"/>
        <v>0.73025719522265409</v>
      </c>
      <c r="G76" s="20">
        <f t="shared" si="15"/>
        <v>0.77430816535702085</v>
      </c>
      <c r="H76" s="20">
        <f t="shared" si="15"/>
        <v>0.80719333669863702</v>
      </c>
      <c r="I76" s="20">
        <f t="shared" si="15"/>
        <v>0.84818567145663182</v>
      </c>
      <c r="J76" s="20">
        <f t="shared" si="15"/>
        <v>0.86388107673764569</v>
      </c>
      <c r="K76" s="14"/>
      <c r="L76" s="14"/>
      <c r="M76" s="14"/>
      <c r="N76" s="14"/>
      <c r="O76" s="14"/>
      <c r="P76" s="14"/>
      <c r="Q76" s="14"/>
    </row>
    <row r="77" spans="1:17" x14ac:dyDescent="0.25">
      <c r="A77" s="3" t="s">
        <v>166</v>
      </c>
      <c r="B77" s="138"/>
      <c r="C77" s="20">
        <f t="shared" ref="C77:J77" si="16">C71/C73</f>
        <v>0.31575970320584273</v>
      </c>
      <c r="D77" s="20">
        <f t="shared" si="16"/>
        <v>0.26306376498503709</v>
      </c>
      <c r="E77" s="20">
        <f t="shared" si="16"/>
        <v>0.26092581135046966</v>
      </c>
      <c r="F77" s="20">
        <f t="shared" si="16"/>
        <v>0.21786066745886284</v>
      </c>
      <c r="G77" s="20">
        <f t="shared" si="16"/>
        <v>0.17542421136544814</v>
      </c>
      <c r="H77" s="20">
        <f t="shared" si="16"/>
        <v>0.14366481574962142</v>
      </c>
      <c r="I77" s="20">
        <f t="shared" si="16"/>
        <v>0.11741445260002067</v>
      </c>
      <c r="J77" s="20">
        <f t="shared" si="16"/>
        <v>0.10384357841167804</v>
      </c>
      <c r="K77" s="14"/>
      <c r="L77" s="14"/>
      <c r="M77" s="14"/>
      <c r="N77" s="14"/>
      <c r="O77" s="14"/>
      <c r="P77" s="14"/>
      <c r="Q77" s="14"/>
    </row>
    <row r="78" spans="1:17" x14ac:dyDescent="0.25">
      <c r="A78" s="3" t="s">
        <v>168</v>
      </c>
      <c r="B78" s="138"/>
      <c r="C78" s="20">
        <f t="shared" ref="C78:J78" si="17">C72/C73</f>
        <v>6.4333128150526539E-2</v>
      </c>
      <c r="D78" s="20">
        <f t="shared" si="17"/>
        <v>0.10174773785702902</v>
      </c>
      <c r="E78" s="20">
        <f t="shared" si="17"/>
        <v>5.2852616382623695E-2</v>
      </c>
      <c r="F78" s="20">
        <f t="shared" si="17"/>
        <v>5.1882137318483013E-2</v>
      </c>
      <c r="G78" s="20">
        <f t="shared" si="17"/>
        <v>5.026762327753103E-2</v>
      </c>
      <c r="H78" s="20">
        <f t="shared" si="17"/>
        <v>4.9141847551741544E-2</v>
      </c>
      <c r="I78" s="20">
        <f t="shared" si="17"/>
        <v>3.4399875943347459E-2</v>
      </c>
      <c r="J78" s="20">
        <f t="shared" si="17"/>
        <v>3.2275344850676312E-2</v>
      </c>
      <c r="K78" s="14"/>
      <c r="L78" s="14"/>
      <c r="M78" s="14"/>
      <c r="N78" s="14"/>
      <c r="O78" s="14"/>
      <c r="P78" s="14"/>
      <c r="Q78" s="14"/>
    </row>
    <row r="79" spans="1:17" ht="20" thickBot="1" x14ac:dyDescent="0.3">
      <c r="A79" s="8" t="s">
        <v>167</v>
      </c>
      <c r="B79" s="139"/>
      <c r="C79" s="31">
        <f t="shared" ref="C79" si="18">SUM(C76:C78)</f>
        <v>0.99999999999999989</v>
      </c>
      <c r="D79" s="31">
        <f t="shared" ref="D79" si="19">SUM(D76:D78)</f>
        <v>1</v>
      </c>
      <c r="E79" s="31">
        <f t="shared" ref="E79" si="20">SUM(E76:E78)</f>
        <v>1</v>
      </c>
      <c r="F79" s="31">
        <f t="shared" ref="F79" si="21">SUM(F76:F78)</f>
        <v>1</v>
      </c>
      <c r="G79" s="31">
        <f t="shared" ref="G79" si="22">SUM(G76:G78)</f>
        <v>1</v>
      </c>
      <c r="H79" s="31">
        <f t="shared" ref="H79" si="23">SUM(H76:H78)</f>
        <v>1</v>
      </c>
      <c r="I79" s="31">
        <f t="shared" ref="I79" si="24">SUM(I76:I78)</f>
        <v>1</v>
      </c>
      <c r="J79" s="31">
        <f t="shared" ref="J79" si="25">SUM(J76:J78)</f>
        <v>1</v>
      </c>
      <c r="K79" s="14"/>
      <c r="L79" s="14"/>
      <c r="M79" s="14"/>
      <c r="N79" s="14"/>
      <c r="O79" s="14"/>
      <c r="P79" s="14"/>
      <c r="Q79" s="14"/>
    </row>
    <row r="80" spans="1:17" ht="20" thickTop="1" x14ac:dyDescent="0.25">
      <c r="B80" s="14"/>
      <c r="C80" s="14"/>
      <c r="D80" s="14"/>
      <c r="E80" s="14"/>
      <c r="F80" s="14"/>
      <c r="G80" s="14"/>
      <c r="H80" s="14"/>
      <c r="I80" s="14"/>
      <c r="J80" s="14"/>
      <c r="K80" s="14"/>
      <c r="L80" s="14"/>
      <c r="M80" s="14"/>
      <c r="N80" s="14"/>
      <c r="O80" s="14"/>
      <c r="P80" s="14"/>
      <c r="Q80" s="14"/>
    </row>
    <row r="81" spans="1:17" ht="19" customHeight="1" x14ac:dyDescent="0.25">
      <c r="A81" s="8" t="s">
        <v>172</v>
      </c>
      <c r="B81" s="137" t="s">
        <v>171</v>
      </c>
      <c r="C81" s="68">
        <f t="shared" ref="C81:J81" si="26">C12</f>
        <v>1793</v>
      </c>
      <c r="D81" s="68">
        <f t="shared" si="26"/>
        <v>2003</v>
      </c>
      <c r="E81" s="68">
        <f t="shared" si="26"/>
        <v>2114</v>
      </c>
      <c r="F81" s="68">
        <f t="shared" si="26"/>
        <v>2227</v>
      </c>
      <c r="G81" s="68">
        <f t="shared" si="26"/>
        <v>2383</v>
      </c>
      <c r="H81" s="68">
        <f t="shared" si="26"/>
        <v>2503</v>
      </c>
      <c r="I81" s="68">
        <f t="shared" si="26"/>
        <v>2622</v>
      </c>
      <c r="J81" s="68">
        <f t="shared" si="26"/>
        <v>2637</v>
      </c>
      <c r="K81" s="68">
        <f>K12</f>
        <v>2687</v>
      </c>
      <c r="L81" s="14"/>
      <c r="M81" s="14"/>
      <c r="N81" s="14"/>
      <c r="O81" s="14"/>
      <c r="P81" s="14"/>
      <c r="Q81" s="14"/>
    </row>
    <row r="82" spans="1:17" x14ac:dyDescent="0.25">
      <c r="A82" s="3" t="s">
        <v>174</v>
      </c>
      <c r="B82" s="138"/>
      <c r="C82" s="14">
        <f>C70</f>
        <v>3726.2</v>
      </c>
      <c r="D82" s="14">
        <f t="shared" ref="D82:J82" si="27">D70</f>
        <v>3587.1</v>
      </c>
      <c r="E82" s="14">
        <f t="shared" si="27"/>
        <v>3660.1</v>
      </c>
      <c r="F82" s="14">
        <f t="shared" si="27"/>
        <v>3625.8</v>
      </c>
      <c r="G82" s="14">
        <f t="shared" si="27"/>
        <v>3399.6</v>
      </c>
      <c r="H82" s="14">
        <f t="shared" si="27"/>
        <v>3198.1</v>
      </c>
      <c r="I82" s="14">
        <f t="shared" si="27"/>
        <v>3281.8</v>
      </c>
      <c r="J82" s="14">
        <f t="shared" si="27"/>
        <v>3225.3</v>
      </c>
      <c r="K82" s="14"/>
      <c r="L82" s="14"/>
      <c r="M82" s="14"/>
      <c r="N82" s="14"/>
      <c r="O82" s="14"/>
      <c r="P82" s="14"/>
      <c r="Q82" s="14"/>
    </row>
    <row r="83" spans="1:17" x14ac:dyDescent="0.25">
      <c r="A83" s="3" t="s">
        <v>192</v>
      </c>
      <c r="B83" s="138"/>
      <c r="C83" s="14">
        <v>163.6</v>
      </c>
      <c r="D83" s="14">
        <v>145.19999999999999</v>
      </c>
      <c r="E83" s="14">
        <v>140.5</v>
      </c>
      <c r="F83" s="14">
        <v>131.1</v>
      </c>
      <c r="G83" s="14">
        <v>116</v>
      </c>
      <c r="H83" s="14">
        <v>104</v>
      </c>
      <c r="I83" s="14">
        <v>104</v>
      </c>
      <c r="J83" s="14">
        <v>101</v>
      </c>
      <c r="K83" s="14"/>
      <c r="L83" s="14"/>
      <c r="M83" s="14"/>
      <c r="N83" s="14"/>
      <c r="O83" s="14"/>
      <c r="P83" s="14"/>
      <c r="Q83" s="14"/>
    </row>
    <row r="84" spans="1:17" x14ac:dyDescent="0.25">
      <c r="B84" s="138"/>
      <c r="C84" s="14"/>
      <c r="D84" s="14"/>
      <c r="E84" s="14"/>
      <c r="F84" s="14"/>
      <c r="G84" s="14"/>
      <c r="H84" s="14"/>
      <c r="I84" s="14"/>
      <c r="J84" s="14"/>
      <c r="K84" s="14"/>
      <c r="L84" s="14"/>
      <c r="M84" s="14"/>
      <c r="N84" s="14"/>
      <c r="O84" s="14"/>
      <c r="P84" s="14"/>
      <c r="Q84" s="14"/>
    </row>
    <row r="85" spans="1:17" ht="19" customHeight="1" x14ac:dyDescent="0.25">
      <c r="A85" s="8" t="s">
        <v>173</v>
      </c>
      <c r="B85" s="138"/>
      <c r="C85" s="68">
        <f t="shared" ref="C85:J85" si="28">C21</f>
        <v>1416</v>
      </c>
      <c r="D85" s="68">
        <f t="shared" si="28"/>
        <v>1265</v>
      </c>
      <c r="E85" s="68">
        <f t="shared" si="28"/>
        <v>1114</v>
      </c>
      <c r="F85" s="68">
        <f t="shared" si="28"/>
        <v>894</v>
      </c>
      <c r="G85" s="68">
        <f t="shared" si="28"/>
        <v>605</v>
      </c>
      <c r="H85" s="68">
        <f t="shared" si="28"/>
        <v>401</v>
      </c>
      <c r="I85" s="68">
        <f t="shared" si="28"/>
        <v>264</v>
      </c>
      <c r="J85" s="68">
        <f t="shared" si="28"/>
        <v>214</v>
      </c>
      <c r="K85" s="68">
        <f>0</f>
        <v>0</v>
      </c>
      <c r="L85" s="14"/>
      <c r="M85" s="14"/>
      <c r="N85" s="14"/>
      <c r="O85" s="14"/>
      <c r="P85" s="14"/>
      <c r="Q85" s="14"/>
    </row>
    <row r="86" spans="1:17" x14ac:dyDescent="0.25">
      <c r="A86" s="3" t="s">
        <v>175</v>
      </c>
      <c r="B86" s="138"/>
      <c r="C86" s="14">
        <f>C71</f>
        <v>1898</v>
      </c>
      <c r="D86" s="14">
        <f t="shared" ref="D86:J86" si="29">D71</f>
        <v>1485.6</v>
      </c>
      <c r="E86" s="14">
        <f t="shared" si="29"/>
        <v>1391.7</v>
      </c>
      <c r="F86" s="14">
        <f t="shared" si="29"/>
        <v>1081.7</v>
      </c>
      <c r="G86" s="14">
        <f t="shared" si="29"/>
        <v>770.2</v>
      </c>
      <c r="H86" s="14">
        <f t="shared" si="29"/>
        <v>569.20000000000005</v>
      </c>
      <c r="I86" s="14">
        <f t="shared" si="29"/>
        <v>454.3</v>
      </c>
      <c r="J86" s="14">
        <f t="shared" si="29"/>
        <v>387.7</v>
      </c>
      <c r="K86" s="14"/>
      <c r="L86" s="14"/>
      <c r="M86" s="14"/>
      <c r="N86" s="14"/>
      <c r="O86" s="14"/>
      <c r="P86" s="14"/>
      <c r="Q86" s="14"/>
    </row>
    <row r="87" spans="1:17" x14ac:dyDescent="0.25">
      <c r="A87" s="3" t="s">
        <v>193</v>
      </c>
      <c r="B87" s="139"/>
      <c r="C87" s="14">
        <v>118</v>
      </c>
      <c r="D87" s="14">
        <v>104.1</v>
      </c>
      <c r="E87" s="14">
        <v>115.5</v>
      </c>
      <c r="F87" s="14">
        <v>120.3</v>
      </c>
      <c r="G87" s="14">
        <v>127.6</v>
      </c>
      <c r="H87" s="14">
        <v>142.69999999999999</v>
      </c>
      <c r="I87" s="14">
        <v>158.4</v>
      </c>
      <c r="J87" s="14">
        <v>157.6</v>
      </c>
      <c r="K87" s="14"/>
      <c r="L87" s="14"/>
      <c r="M87" s="14"/>
      <c r="N87" s="14"/>
      <c r="O87" s="14"/>
      <c r="P87" s="14"/>
      <c r="Q87" s="14"/>
    </row>
    <row r="88" spans="1:17" x14ac:dyDescent="0.25">
      <c r="B88" s="67"/>
      <c r="C88" s="14"/>
      <c r="D88" s="14"/>
      <c r="E88" s="14"/>
      <c r="F88" s="14"/>
      <c r="G88" s="14"/>
      <c r="H88" s="14"/>
      <c r="I88" s="14"/>
      <c r="J88" s="14"/>
      <c r="K88" s="14"/>
      <c r="L88" s="14"/>
      <c r="M88" s="14"/>
      <c r="N88" s="14"/>
      <c r="O88" s="14"/>
      <c r="P88" s="14"/>
      <c r="Q88" s="14"/>
    </row>
    <row r="89" spans="1:17" x14ac:dyDescent="0.25">
      <c r="A89" s="8" t="s">
        <v>176</v>
      </c>
      <c r="B89" s="14"/>
      <c r="C89" s="68">
        <f>C81+C85</f>
        <v>3209</v>
      </c>
      <c r="D89" s="68">
        <f t="shared" ref="D89:K89" si="30">D81+D85</f>
        <v>3268</v>
      </c>
      <c r="E89" s="68">
        <f t="shared" si="30"/>
        <v>3228</v>
      </c>
      <c r="F89" s="68">
        <f t="shared" si="30"/>
        <v>3121</v>
      </c>
      <c r="G89" s="68">
        <f t="shared" si="30"/>
        <v>2988</v>
      </c>
      <c r="H89" s="68">
        <f t="shared" si="30"/>
        <v>2904</v>
      </c>
      <c r="I89" s="68">
        <f t="shared" si="30"/>
        <v>2886</v>
      </c>
      <c r="J89" s="68">
        <f t="shared" si="30"/>
        <v>2851</v>
      </c>
      <c r="K89" s="68">
        <f t="shared" si="30"/>
        <v>2687</v>
      </c>
      <c r="L89" s="14"/>
      <c r="M89" s="14"/>
      <c r="N89" s="14"/>
      <c r="O89" s="14"/>
      <c r="P89" s="14"/>
      <c r="Q89" s="14"/>
    </row>
    <row r="90" spans="1:17" x14ac:dyDescent="0.25">
      <c r="A90" s="3" t="s">
        <v>177</v>
      </c>
      <c r="B90" s="14"/>
      <c r="C90" s="14">
        <f>C70+C71</f>
        <v>5624.2</v>
      </c>
      <c r="D90" s="14">
        <f t="shared" ref="D90:J90" si="31">D70+D71</f>
        <v>5072.7</v>
      </c>
      <c r="E90" s="14">
        <f t="shared" si="31"/>
        <v>5051.8</v>
      </c>
      <c r="F90" s="14">
        <f t="shared" si="31"/>
        <v>4707.5</v>
      </c>
      <c r="G90" s="14">
        <f t="shared" si="31"/>
        <v>4169.8</v>
      </c>
      <c r="H90" s="14">
        <f t="shared" si="31"/>
        <v>3767.3</v>
      </c>
      <c r="I90" s="14">
        <f t="shared" si="31"/>
        <v>3736.1000000000004</v>
      </c>
      <c r="J90" s="14">
        <f t="shared" si="31"/>
        <v>3613</v>
      </c>
      <c r="K90" s="14"/>
      <c r="L90" s="14"/>
      <c r="M90" s="14"/>
      <c r="N90" s="14"/>
      <c r="O90" s="14"/>
      <c r="P90" s="14"/>
      <c r="Q90" s="14"/>
    </row>
    <row r="91" spans="1:17" x14ac:dyDescent="0.25">
      <c r="A91" s="3" t="s">
        <v>194</v>
      </c>
      <c r="B91" s="14"/>
      <c r="C91" s="14">
        <f>(C90/AVERAGE(C89:D89))/12*1000</f>
        <v>144.72235088261027</v>
      </c>
      <c r="D91" s="14">
        <f t="shared" ref="D91:J91" si="32">(D90/AVERAGE(D89:E89))/12*1000</f>
        <v>130.14932266009851</v>
      </c>
      <c r="E91" s="14">
        <f t="shared" si="32"/>
        <v>132.61405995694861</v>
      </c>
      <c r="F91" s="14">
        <f t="shared" si="32"/>
        <v>128.43073061603098</v>
      </c>
      <c r="G91" s="14">
        <f t="shared" si="32"/>
        <v>117.95089386739082</v>
      </c>
      <c r="H91" s="14">
        <f t="shared" si="32"/>
        <v>108.4427173287277</v>
      </c>
      <c r="I91" s="14">
        <f t="shared" si="32"/>
        <v>108.53814421009821</v>
      </c>
      <c r="J91" s="14">
        <f t="shared" si="32"/>
        <v>108.73359817021789</v>
      </c>
      <c r="K91" s="14"/>
      <c r="L91" s="14"/>
      <c r="M91" s="14"/>
      <c r="N91" s="14"/>
      <c r="O91" s="14"/>
      <c r="P91" s="14"/>
      <c r="Q91" s="14"/>
    </row>
    <row r="92" spans="1:17" x14ac:dyDescent="0.25">
      <c r="B92" s="14"/>
      <c r="C92" s="14"/>
      <c r="D92" s="14"/>
      <c r="E92" s="14"/>
      <c r="F92" s="14"/>
      <c r="G92" s="14"/>
      <c r="H92" s="14"/>
      <c r="I92" s="14"/>
      <c r="J92" s="14"/>
      <c r="K92" s="14"/>
      <c r="L92" s="14"/>
      <c r="M92" s="14"/>
      <c r="N92" s="14"/>
      <c r="O92" s="14"/>
      <c r="P92" s="14"/>
      <c r="Q92" s="14"/>
    </row>
    <row r="93" spans="1:17" x14ac:dyDescent="0.25">
      <c r="A93" s="8" t="s">
        <v>217</v>
      </c>
      <c r="B93" s="14"/>
      <c r="C93" s="14"/>
      <c r="D93" s="14"/>
      <c r="E93" s="14"/>
      <c r="F93" s="14"/>
      <c r="G93" s="14"/>
      <c r="H93" s="14"/>
      <c r="I93" s="14"/>
      <c r="J93" s="14"/>
      <c r="K93" s="14"/>
      <c r="L93" s="14"/>
      <c r="M93" s="14"/>
      <c r="N93" s="14"/>
      <c r="O93" s="14"/>
      <c r="P93" s="14"/>
      <c r="Q93" s="14"/>
    </row>
    <row r="94" spans="1:17" x14ac:dyDescent="0.25">
      <c r="A94" s="3" t="s">
        <v>178</v>
      </c>
      <c r="B94" s="14">
        <v>621.70000000000005</v>
      </c>
      <c r="C94" s="14">
        <v>587.6</v>
      </c>
      <c r="D94" s="14">
        <v>323</v>
      </c>
      <c r="E94" s="14"/>
      <c r="F94" s="14"/>
      <c r="G94" s="14"/>
      <c r="H94" s="14"/>
      <c r="I94" s="14"/>
      <c r="J94" s="14"/>
      <c r="K94" s="14"/>
      <c r="L94" s="14"/>
      <c r="M94" s="14"/>
      <c r="N94" s="14"/>
      <c r="O94" s="14"/>
      <c r="P94" s="14"/>
      <c r="Q94" s="14"/>
    </row>
    <row r="95" spans="1:17" x14ac:dyDescent="0.25">
      <c r="A95" s="3" t="s">
        <v>179</v>
      </c>
      <c r="B95" s="14">
        <v>1302.2</v>
      </c>
      <c r="C95" s="14">
        <v>1353.7</v>
      </c>
      <c r="D95" s="14">
        <v>1064.4000000000001</v>
      </c>
      <c r="E95" s="14"/>
      <c r="F95" s="14"/>
      <c r="G95" s="14"/>
      <c r="H95" s="14"/>
      <c r="I95" s="14"/>
      <c r="J95" s="14"/>
      <c r="K95" s="14"/>
      <c r="L95" s="14"/>
      <c r="M95" s="14"/>
      <c r="N95" s="14"/>
      <c r="O95" s="14"/>
      <c r="P95" s="14"/>
      <c r="Q95" s="14"/>
    </row>
    <row r="96" spans="1:17" ht="20" thickBot="1" x14ac:dyDescent="0.3">
      <c r="A96" s="8" t="s">
        <v>180</v>
      </c>
      <c r="B96" s="39">
        <f>SUM(B94:B95)</f>
        <v>1923.9</v>
      </c>
      <c r="C96" s="39">
        <f>SUM(C94:C95)</f>
        <v>1941.3000000000002</v>
      </c>
      <c r="D96" s="39">
        <f>SUM(D94:D95)</f>
        <v>1387.4</v>
      </c>
      <c r="E96" s="14"/>
      <c r="F96" s="14"/>
      <c r="G96" s="14"/>
      <c r="H96" s="14"/>
      <c r="I96" s="14"/>
      <c r="J96" s="14"/>
      <c r="K96" s="14"/>
      <c r="L96" s="14"/>
      <c r="M96" s="14"/>
      <c r="N96" s="14"/>
      <c r="O96" s="14"/>
      <c r="P96" s="14"/>
      <c r="Q96" s="14"/>
    </row>
    <row r="97" spans="1:17" ht="20" thickTop="1" x14ac:dyDescent="0.25">
      <c r="B97" s="14"/>
      <c r="C97" s="14"/>
      <c r="D97" s="14"/>
      <c r="E97" s="14"/>
      <c r="F97" s="14"/>
      <c r="G97" s="14"/>
      <c r="H97" s="14"/>
      <c r="I97" s="14"/>
      <c r="J97" s="14"/>
      <c r="K97" s="14"/>
      <c r="L97" s="14"/>
      <c r="M97" s="14"/>
      <c r="N97" s="14"/>
      <c r="O97" s="14"/>
      <c r="P97" s="14"/>
      <c r="Q97" s="14"/>
    </row>
    <row r="98" spans="1:17" x14ac:dyDescent="0.25">
      <c r="A98" s="8" t="s">
        <v>219</v>
      </c>
      <c r="B98" s="14"/>
      <c r="C98" s="14"/>
      <c r="D98" s="14"/>
      <c r="E98" s="14"/>
      <c r="F98" s="14"/>
      <c r="G98" s="14"/>
      <c r="H98" s="14"/>
      <c r="I98" s="14"/>
      <c r="J98" s="14"/>
      <c r="K98" s="14"/>
      <c r="L98" s="14"/>
      <c r="M98" s="14"/>
      <c r="N98" s="14"/>
      <c r="O98" s="14"/>
      <c r="P98" s="14"/>
      <c r="Q98" s="14"/>
    </row>
    <row r="99" spans="1:17" x14ac:dyDescent="0.25">
      <c r="A99" s="3" t="s">
        <v>178</v>
      </c>
      <c r="B99" s="20">
        <f>B94/B29</f>
        <v>0.11763481551561022</v>
      </c>
      <c r="C99" s="20">
        <f t="shared" ref="C99:D99" si="33">C94/C29</f>
        <v>9.7755743732219805E-2</v>
      </c>
      <c r="D99" s="20">
        <f t="shared" si="33"/>
        <v>5.7195473943300337E-2</v>
      </c>
      <c r="E99" s="14"/>
      <c r="F99" s="14"/>
      <c r="G99" s="14"/>
      <c r="H99" s="14"/>
      <c r="I99" s="14"/>
      <c r="J99" s="14"/>
      <c r="K99" s="14"/>
      <c r="L99" s="14"/>
      <c r="M99" s="14"/>
      <c r="N99" s="14"/>
      <c r="O99" s="14"/>
      <c r="P99" s="14"/>
      <c r="Q99" s="14"/>
    </row>
    <row r="100" spans="1:17" x14ac:dyDescent="0.25">
      <c r="A100" s="3" t="s">
        <v>179</v>
      </c>
      <c r="B100" s="20">
        <f>B95/B29</f>
        <v>0.24639545884578998</v>
      </c>
      <c r="C100" s="20">
        <f t="shared" ref="C100:D100" si="34">C95/C29</f>
        <v>0.22520753963632736</v>
      </c>
      <c r="D100" s="20">
        <f t="shared" si="34"/>
        <v>0.18847945035680769</v>
      </c>
      <c r="E100" s="14"/>
      <c r="F100" s="14"/>
      <c r="G100" s="14"/>
      <c r="H100" s="14"/>
      <c r="I100" s="14"/>
      <c r="J100" s="14"/>
      <c r="K100" s="14"/>
      <c r="L100" s="14"/>
      <c r="M100" s="14"/>
      <c r="N100" s="14"/>
      <c r="O100" s="14"/>
      <c r="P100" s="14"/>
      <c r="Q100" s="14"/>
    </row>
    <row r="101" spans="1:17" ht="20" thickBot="1" x14ac:dyDescent="0.3">
      <c r="A101" s="8" t="s">
        <v>180</v>
      </c>
      <c r="B101" s="31">
        <f>SUM(B99:B100)</f>
        <v>0.36403027436140023</v>
      </c>
      <c r="C101" s="31">
        <f t="shared" ref="C101:D101" si="35">SUM(C99:C100)</f>
        <v>0.32296328336854718</v>
      </c>
      <c r="D101" s="31">
        <f t="shared" si="35"/>
        <v>0.24567492430010801</v>
      </c>
      <c r="E101" s="14"/>
      <c r="F101" s="14"/>
      <c r="G101" s="14"/>
      <c r="H101" s="14"/>
      <c r="I101" s="14"/>
      <c r="J101" s="14"/>
      <c r="K101" s="14"/>
      <c r="L101" s="14"/>
      <c r="M101" s="14"/>
      <c r="N101" s="14"/>
      <c r="O101" s="14"/>
      <c r="P101" s="14"/>
      <c r="Q101" s="14"/>
    </row>
    <row r="102" spans="1:17" ht="20" thickTop="1" x14ac:dyDescent="0.25">
      <c r="B102" s="14"/>
      <c r="C102" s="14"/>
      <c r="D102" s="14"/>
      <c r="E102" s="14"/>
      <c r="F102" s="14"/>
      <c r="G102" s="14"/>
      <c r="H102" s="14"/>
      <c r="I102" s="14"/>
      <c r="J102" s="14"/>
      <c r="K102" s="14"/>
      <c r="L102" s="14"/>
      <c r="M102" s="14"/>
      <c r="N102" s="14"/>
      <c r="O102" s="14"/>
      <c r="P102" s="14"/>
      <c r="Q102" s="14"/>
    </row>
    <row r="103" spans="1:17" x14ac:dyDescent="0.25">
      <c r="A103" s="8" t="s">
        <v>181</v>
      </c>
      <c r="B103" s="10"/>
      <c r="C103" s="10"/>
      <c r="D103" s="10"/>
      <c r="E103" s="10"/>
      <c r="F103" s="10"/>
      <c r="G103" s="10"/>
      <c r="H103" s="10"/>
      <c r="I103" s="10"/>
      <c r="J103" s="10"/>
      <c r="K103" s="10"/>
      <c r="L103" s="10"/>
      <c r="M103" s="10"/>
      <c r="N103" s="10"/>
      <c r="O103" s="10"/>
      <c r="P103" s="10"/>
      <c r="Q103" s="10"/>
    </row>
    <row r="104" spans="1:17" ht="19" customHeight="1" x14ac:dyDescent="0.25">
      <c r="A104" s="3" t="s">
        <v>182</v>
      </c>
      <c r="B104" s="10">
        <v>13243</v>
      </c>
      <c r="C104" s="10">
        <v>12464</v>
      </c>
      <c r="D104" s="10">
        <v>12680</v>
      </c>
      <c r="E104" s="10">
        <v>13977</v>
      </c>
      <c r="F104" s="10">
        <v>14015</v>
      </c>
      <c r="G104" s="10">
        <v>13424</v>
      </c>
      <c r="H104" s="10">
        <v>12966</v>
      </c>
      <c r="I104" s="10">
        <v>13961</v>
      </c>
      <c r="J104" s="10">
        <v>12293</v>
      </c>
      <c r="K104" s="10">
        <v>11550</v>
      </c>
      <c r="L104" s="10">
        <v>10158</v>
      </c>
      <c r="M104" s="10">
        <v>10394</v>
      </c>
      <c r="N104" s="10">
        <v>9146</v>
      </c>
      <c r="O104" s="11"/>
      <c r="P104" s="11"/>
      <c r="Q104" s="11"/>
    </row>
    <row r="105" spans="1:17" x14ac:dyDescent="0.25">
      <c r="A105" s="3" t="s">
        <v>183</v>
      </c>
      <c r="B105" s="10">
        <v>2419</v>
      </c>
      <c r="C105" s="10">
        <v>2106</v>
      </c>
      <c r="D105" s="10">
        <v>1952</v>
      </c>
      <c r="E105" s="10">
        <v>1854</v>
      </c>
      <c r="F105" s="10">
        <v>1772</v>
      </c>
      <c r="G105" s="10">
        <v>1711</v>
      </c>
      <c r="H105" s="10">
        <v>1575</v>
      </c>
      <c r="I105" s="10">
        <v>1566</v>
      </c>
      <c r="J105" s="10">
        <v>1349</v>
      </c>
      <c r="K105" s="10">
        <v>1242</v>
      </c>
      <c r="L105" s="10">
        <v>1111</v>
      </c>
      <c r="M105" s="10">
        <v>994</v>
      </c>
      <c r="N105" s="10">
        <v>750</v>
      </c>
      <c r="O105" s="11"/>
      <c r="P105" s="11"/>
      <c r="Q105" s="11"/>
    </row>
    <row r="106" spans="1:17" x14ac:dyDescent="0.25">
      <c r="A106" s="3" t="s">
        <v>184</v>
      </c>
      <c r="B106" s="69">
        <f t="shared" ref="B106" si="36">SUM(B104:B105)</f>
        <v>15662</v>
      </c>
      <c r="C106" s="69">
        <f t="shared" ref="C106:N106" si="37">SUM(C104:C105)</f>
        <v>14570</v>
      </c>
      <c r="D106" s="69">
        <f t="shared" si="37"/>
        <v>14632</v>
      </c>
      <c r="E106" s="69">
        <f t="shared" si="37"/>
        <v>15831</v>
      </c>
      <c r="F106" s="69">
        <f t="shared" si="37"/>
        <v>15787</v>
      </c>
      <c r="G106" s="69">
        <f t="shared" si="37"/>
        <v>15135</v>
      </c>
      <c r="H106" s="69">
        <f t="shared" si="37"/>
        <v>14541</v>
      </c>
      <c r="I106" s="69">
        <f t="shared" si="37"/>
        <v>15527</v>
      </c>
      <c r="J106" s="69">
        <f t="shared" si="37"/>
        <v>13642</v>
      </c>
      <c r="K106" s="69">
        <f t="shared" si="37"/>
        <v>12792</v>
      </c>
      <c r="L106" s="69">
        <f t="shared" si="37"/>
        <v>11269</v>
      </c>
      <c r="M106" s="69">
        <f t="shared" si="37"/>
        <v>11388</v>
      </c>
      <c r="N106" s="69">
        <f t="shared" si="37"/>
        <v>9896</v>
      </c>
      <c r="O106" s="11"/>
      <c r="P106" s="11"/>
      <c r="Q106" s="11"/>
    </row>
    <row r="107" spans="1:17" x14ac:dyDescent="0.25">
      <c r="A107" s="3" t="s">
        <v>185</v>
      </c>
      <c r="B107" s="10">
        <v>3907</v>
      </c>
      <c r="C107" s="10">
        <v>3675</v>
      </c>
      <c r="D107" s="10">
        <v>3583</v>
      </c>
      <c r="E107" s="10">
        <v>4012</v>
      </c>
      <c r="F107" s="10">
        <v>3830</v>
      </c>
      <c r="G107" s="10">
        <v>3575</v>
      </c>
      <c r="H107" s="10">
        <v>3403</v>
      </c>
      <c r="I107" s="10">
        <v>3459</v>
      </c>
      <c r="J107" s="10">
        <v>3120</v>
      </c>
      <c r="K107" s="10">
        <v>2931</v>
      </c>
      <c r="L107" s="10">
        <v>2451</v>
      </c>
      <c r="M107" s="140">
        <v>2936</v>
      </c>
      <c r="N107" s="140">
        <v>2580</v>
      </c>
      <c r="O107" s="141"/>
      <c r="P107" s="141"/>
      <c r="Q107" s="141"/>
    </row>
    <row r="108" spans="1:17" x14ac:dyDescent="0.25">
      <c r="A108" s="3" t="s">
        <v>186</v>
      </c>
      <c r="B108" s="10">
        <v>706</v>
      </c>
      <c r="C108" s="10">
        <v>649</v>
      </c>
      <c r="D108" s="10">
        <v>639</v>
      </c>
      <c r="E108" s="10">
        <v>711</v>
      </c>
      <c r="F108" s="10">
        <v>736</v>
      </c>
      <c r="G108" s="10">
        <v>652</v>
      </c>
      <c r="H108" s="10">
        <v>594</v>
      </c>
      <c r="I108" s="10">
        <v>662</v>
      </c>
      <c r="J108" s="10">
        <v>630</v>
      </c>
      <c r="K108" s="10">
        <v>603</v>
      </c>
      <c r="L108" s="10">
        <v>569</v>
      </c>
      <c r="M108" s="140"/>
      <c r="N108" s="140"/>
      <c r="O108" s="141"/>
      <c r="P108" s="141"/>
      <c r="Q108" s="141"/>
    </row>
    <row r="109" spans="1:17" x14ac:dyDescent="0.25">
      <c r="A109" s="3" t="s">
        <v>187</v>
      </c>
      <c r="B109" s="10">
        <v>1750</v>
      </c>
      <c r="C109" s="10">
        <v>1613</v>
      </c>
      <c r="D109" s="10">
        <v>1511</v>
      </c>
      <c r="E109" s="10">
        <v>1394</v>
      </c>
      <c r="F109" s="10">
        <v>1291</v>
      </c>
      <c r="G109" s="10">
        <v>1203</v>
      </c>
      <c r="H109" s="10">
        <v>1086</v>
      </c>
      <c r="I109" s="10">
        <v>1098</v>
      </c>
      <c r="J109" s="10">
        <v>1025</v>
      </c>
      <c r="K109" s="10">
        <v>951</v>
      </c>
      <c r="L109" s="10">
        <v>856</v>
      </c>
      <c r="M109" s="10">
        <v>844</v>
      </c>
      <c r="N109" s="10">
        <v>809</v>
      </c>
      <c r="O109" s="11"/>
      <c r="P109" s="11"/>
      <c r="Q109" s="11"/>
    </row>
    <row r="110" spans="1:17" x14ac:dyDescent="0.25">
      <c r="A110" s="3" t="s">
        <v>188</v>
      </c>
      <c r="B110" s="69">
        <f t="shared" ref="B110" si="38">SUM(B107:B109)</f>
        <v>6363</v>
      </c>
      <c r="C110" s="69">
        <f t="shared" ref="C110:N110" si="39">SUM(C107:C109)</f>
        <v>5937</v>
      </c>
      <c r="D110" s="69">
        <f t="shared" si="39"/>
        <v>5733</v>
      </c>
      <c r="E110" s="69">
        <f t="shared" si="39"/>
        <v>6117</v>
      </c>
      <c r="F110" s="69">
        <f t="shared" si="39"/>
        <v>5857</v>
      </c>
      <c r="G110" s="69">
        <f t="shared" si="39"/>
        <v>5430</v>
      </c>
      <c r="H110" s="69">
        <f t="shared" si="39"/>
        <v>5083</v>
      </c>
      <c r="I110" s="69">
        <f t="shared" si="39"/>
        <v>5219</v>
      </c>
      <c r="J110" s="69">
        <f t="shared" si="39"/>
        <v>4775</v>
      </c>
      <c r="K110" s="69">
        <f t="shared" si="39"/>
        <v>4485</v>
      </c>
      <c r="L110" s="69">
        <f t="shared" si="39"/>
        <v>3876</v>
      </c>
      <c r="M110" s="69">
        <f t="shared" si="39"/>
        <v>3780</v>
      </c>
      <c r="N110" s="69">
        <f t="shared" si="39"/>
        <v>3389</v>
      </c>
      <c r="O110" s="11"/>
      <c r="P110" s="11"/>
      <c r="Q110" s="11"/>
    </row>
    <row r="111" spans="1:17" ht="20" thickBot="1" x14ac:dyDescent="0.3">
      <c r="A111" s="8" t="s">
        <v>22</v>
      </c>
      <c r="B111" s="70">
        <f t="shared" ref="B111" si="40">B110+B106</f>
        <v>22025</v>
      </c>
      <c r="C111" s="70">
        <f t="shared" ref="C111:N111" si="41">C110+C106</f>
        <v>20507</v>
      </c>
      <c r="D111" s="70">
        <f t="shared" si="41"/>
        <v>20365</v>
      </c>
      <c r="E111" s="70">
        <f t="shared" si="41"/>
        <v>21948</v>
      </c>
      <c r="F111" s="70">
        <f t="shared" si="41"/>
        <v>21644</v>
      </c>
      <c r="G111" s="70">
        <f t="shared" si="41"/>
        <v>20565</v>
      </c>
      <c r="H111" s="70">
        <f t="shared" si="41"/>
        <v>19624</v>
      </c>
      <c r="I111" s="70">
        <f t="shared" si="41"/>
        <v>20746</v>
      </c>
      <c r="J111" s="70">
        <f t="shared" si="41"/>
        <v>18417</v>
      </c>
      <c r="K111" s="70">
        <f t="shared" si="41"/>
        <v>17277</v>
      </c>
      <c r="L111" s="70">
        <f t="shared" si="41"/>
        <v>15145</v>
      </c>
      <c r="M111" s="70">
        <f t="shared" si="41"/>
        <v>15168</v>
      </c>
      <c r="N111" s="70">
        <f t="shared" si="41"/>
        <v>13285</v>
      </c>
      <c r="O111" s="26"/>
      <c r="P111" s="26"/>
      <c r="Q111" s="26"/>
    </row>
    <row r="112" spans="1:17" ht="20" thickTop="1" x14ac:dyDescent="0.25">
      <c r="B112" s="10"/>
      <c r="C112" s="10"/>
      <c r="D112" s="10"/>
      <c r="E112" s="10"/>
      <c r="F112" s="10"/>
      <c r="G112" s="10"/>
      <c r="H112" s="10"/>
      <c r="I112" s="10"/>
      <c r="J112" s="10"/>
      <c r="K112" s="10"/>
      <c r="L112" s="10"/>
      <c r="M112" s="10"/>
      <c r="N112" s="10"/>
      <c r="O112" s="10"/>
      <c r="P112" s="10"/>
      <c r="Q112" s="10"/>
    </row>
    <row r="113" spans="1:17" x14ac:dyDescent="0.25">
      <c r="A113" s="8" t="s">
        <v>191</v>
      </c>
      <c r="B113" s="79" t="s">
        <v>223</v>
      </c>
      <c r="C113" s="10"/>
      <c r="D113" s="10"/>
      <c r="E113" s="10"/>
      <c r="F113" s="10"/>
      <c r="G113" s="10"/>
      <c r="H113" s="10"/>
      <c r="I113" s="10"/>
      <c r="J113" s="10"/>
      <c r="K113" s="10"/>
      <c r="L113" s="10"/>
      <c r="M113" s="10"/>
      <c r="N113" s="10"/>
      <c r="O113" s="10"/>
      <c r="P113" s="10"/>
      <c r="Q113" s="10"/>
    </row>
    <row r="114" spans="1:17" x14ac:dyDescent="0.25">
      <c r="A114" s="3" t="s">
        <v>189</v>
      </c>
      <c r="B114" s="10">
        <f>(B29*1000000)/B111</f>
        <v>239954.59704880818</v>
      </c>
      <c r="C114" s="10">
        <f>(C29*1000000)/C111</f>
        <v>293114.54625249916</v>
      </c>
      <c r="D114" s="10">
        <f t="shared" ref="D114:N114" si="42">(D29*1000000)/D111</f>
        <v>277304.19837957277</v>
      </c>
      <c r="E114" s="10">
        <f t="shared" si="42"/>
        <v>243015.30891197376</v>
      </c>
      <c r="F114" s="10">
        <f t="shared" si="42"/>
        <v>229398.44760672704</v>
      </c>
      <c r="G114" s="10">
        <f t="shared" si="42"/>
        <v>213493.80014587892</v>
      </c>
      <c r="H114" s="10">
        <f t="shared" si="42"/>
        <v>201895.63799429272</v>
      </c>
      <c r="I114" s="10">
        <f t="shared" si="42"/>
        <v>186503.42234647644</v>
      </c>
      <c r="J114" s="10">
        <f t="shared" si="42"/>
        <v>202720.69283813867</v>
      </c>
      <c r="K114" s="10">
        <f t="shared" si="42"/>
        <v>192516.40909880187</v>
      </c>
      <c r="L114" s="10">
        <f t="shared" si="42"/>
        <v>206905.05117200396</v>
      </c>
      <c r="M114" s="10">
        <f t="shared" si="42"/>
        <v>182414.2273206751</v>
      </c>
      <c r="N114" s="10">
        <f t="shared" si="42"/>
        <v>170829.58223560406</v>
      </c>
      <c r="O114" s="10"/>
      <c r="P114" s="10"/>
      <c r="Q114" s="10"/>
    </row>
    <row r="115" spans="1:17" x14ac:dyDescent="0.25">
      <c r="A115" s="3" t="s">
        <v>190</v>
      </c>
      <c r="B115" s="10">
        <f>(B29*1000000)/B106</f>
        <v>337440.93985442474</v>
      </c>
      <c r="C115" s="10">
        <f>(C29*1000000)/C106</f>
        <v>412553.19148936169</v>
      </c>
      <c r="D115" s="10">
        <f t="shared" ref="D115:N115" si="43">(D29*1000000)/D106</f>
        <v>385955.44013121922</v>
      </c>
      <c r="E115" s="10">
        <f t="shared" si="43"/>
        <v>336914.91377676709</v>
      </c>
      <c r="F115" s="10">
        <f t="shared" si="43"/>
        <v>314505.60587825428</v>
      </c>
      <c r="G115" s="10">
        <f t="shared" si="43"/>
        <v>290089.19722497521</v>
      </c>
      <c r="H115" s="10">
        <f t="shared" si="43"/>
        <v>272470.94422666944</v>
      </c>
      <c r="I115" s="10">
        <f t="shared" si="43"/>
        <v>249191.73053390867</v>
      </c>
      <c r="J115" s="10">
        <f t="shared" si="43"/>
        <v>273677.39334408444</v>
      </c>
      <c r="K115" s="10">
        <f t="shared" si="43"/>
        <v>260014.54033771108</v>
      </c>
      <c r="L115" s="10">
        <f t="shared" si="43"/>
        <v>278070.54751974443</v>
      </c>
      <c r="M115" s="10">
        <f t="shared" si="43"/>
        <v>242962.68001404987</v>
      </c>
      <c r="N115" s="10">
        <f t="shared" si="43"/>
        <v>229332.15440582053</v>
      </c>
      <c r="O115" s="10"/>
      <c r="P115" s="10"/>
      <c r="Q115" s="10"/>
    </row>
    <row r="116" spans="1:17" x14ac:dyDescent="0.25">
      <c r="A116" s="3" t="s">
        <v>195</v>
      </c>
      <c r="B116" s="10">
        <f>(B29*1000000)/B107</f>
        <v>1352700.2815459431</v>
      </c>
      <c r="C116" s="10">
        <f>(C29*1000000)/C107</f>
        <v>1635619.0476190476</v>
      </c>
      <c r="D116" s="10">
        <f t="shared" ref="D116:N116" si="44">(D29*1000000)/D107</f>
        <v>1576137.3150990789</v>
      </c>
      <c r="E116" s="10">
        <f t="shared" si="44"/>
        <v>1329436.6899302094</v>
      </c>
      <c r="F116" s="10">
        <f t="shared" si="44"/>
        <v>1296370.7571801567</v>
      </c>
      <c r="G116" s="10">
        <f t="shared" si="44"/>
        <v>1228111.8881118882</v>
      </c>
      <c r="H116" s="10">
        <f t="shared" si="44"/>
        <v>1164266.8233911255</v>
      </c>
      <c r="I116" s="10">
        <f t="shared" si="44"/>
        <v>1118589.1876264818</v>
      </c>
      <c r="J116" s="10">
        <f t="shared" si="44"/>
        <v>1196636.858974359</v>
      </c>
      <c r="K116" s="10">
        <f t="shared" si="44"/>
        <v>1134802.4564994883</v>
      </c>
      <c r="L116" s="10">
        <f t="shared" si="44"/>
        <v>1278489.1880864953</v>
      </c>
      <c r="M116" s="10">
        <f t="shared" si="44"/>
        <v>942390.66757493187</v>
      </c>
      <c r="N116" s="10">
        <f t="shared" si="44"/>
        <v>879639.92248062021</v>
      </c>
      <c r="O116" s="10"/>
      <c r="P116" s="10"/>
      <c r="Q116" s="10"/>
    </row>
    <row r="117" spans="1:17" x14ac:dyDescent="0.25">
      <c r="B117" s="10"/>
      <c r="C117" s="12"/>
      <c r="D117" s="10"/>
      <c r="E117" s="10"/>
      <c r="F117" s="10"/>
      <c r="G117" s="10"/>
      <c r="H117" s="10"/>
      <c r="I117" s="10"/>
      <c r="J117" s="10"/>
      <c r="K117" s="10"/>
      <c r="L117" s="10"/>
      <c r="M117" s="10"/>
      <c r="N117" s="10"/>
      <c r="O117" s="10"/>
      <c r="P117" s="10"/>
      <c r="Q117" s="10"/>
    </row>
    <row r="118" spans="1:17" x14ac:dyDescent="0.25">
      <c r="B118" s="10"/>
      <c r="C118" s="12"/>
      <c r="D118" s="10"/>
      <c r="E118" s="10"/>
      <c r="F118" s="10"/>
      <c r="G118" s="10"/>
      <c r="H118" s="10"/>
      <c r="I118" s="10"/>
      <c r="J118" s="10"/>
      <c r="K118" s="10"/>
      <c r="L118" s="10"/>
      <c r="M118" s="10"/>
      <c r="N118" s="10"/>
      <c r="O118" s="10"/>
      <c r="P118" s="10"/>
      <c r="Q118" s="10"/>
    </row>
    <row r="119" spans="1:17" x14ac:dyDescent="0.25">
      <c r="B119" s="10"/>
      <c r="C119" s="10"/>
      <c r="D119" s="10"/>
      <c r="E119" s="10"/>
      <c r="F119" s="10"/>
      <c r="G119" s="10"/>
      <c r="H119" s="10"/>
      <c r="I119" s="10"/>
      <c r="J119" s="10"/>
      <c r="K119" s="10"/>
      <c r="L119" s="10"/>
      <c r="M119" s="10"/>
      <c r="N119" s="10"/>
      <c r="O119" s="10"/>
      <c r="P119" s="10"/>
      <c r="Q119" s="10"/>
    </row>
    <row r="120" spans="1:17" x14ac:dyDescent="0.25">
      <c r="B120" s="10"/>
      <c r="C120" s="10"/>
      <c r="D120" s="10"/>
      <c r="E120" s="10"/>
      <c r="F120" s="10"/>
      <c r="G120" s="10"/>
      <c r="H120" s="10"/>
      <c r="I120" s="10"/>
      <c r="J120" s="10"/>
      <c r="K120" s="10"/>
      <c r="L120" s="10"/>
      <c r="M120" s="10"/>
      <c r="N120" s="10"/>
      <c r="O120" s="10"/>
      <c r="P120" s="10"/>
      <c r="Q120" s="10"/>
    </row>
  </sheetData>
  <mergeCells count="27">
    <mergeCell ref="N107:N108"/>
    <mergeCell ref="O107:O108"/>
    <mergeCell ref="P107:P108"/>
    <mergeCell ref="Q107:Q108"/>
    <mergeCell ref="B81:B87"/>
    <mergeCell ref="M107:M108"/>
    <mergeCell ref="E43:E46"/>
    <mergeCell ref="F43:F46"/>
    <mergeCell ref="B70:B73"/>
    <mergeCell ref="B76:B79"/>
    <mergeCell ref="B65:G65"/>
    <mergeCell ref="H64:Q64"/>
    <mergeCell ref="B58:G58"/>
    <mergeCell ref="H57:Q57"/>
    <mergeCell ref="B6:B7"/>
    <mergeCell ref="B8:B11"/>
    <mergeCell ref="B15:B16"/>
    <mergeCell ref="B17:B20"/>
    <mergeCell ref="B43:B46"/>
    <mergeCell ref="N25:Q26"/>
    <mergeCell ref="G14:G20"/>
    <mergeCell ref="H14:H20"/>
    <mergeCell ref="I14:I20"/>
    <mergeCell ref="J14:J20"/>
    <mergeCell ref="K14:Q21"/>
    <mergeCell ref="C43:C46"/>
    <mergeCell ref="D43:D46"/>
  </mergeCells>
  <pageMargins left="0.7" right="0.7" top="0.75" bottom="0.75" header="0.3" footer="0.3"/>
  <pageSetup orientation="portrait" horizontalDpi="0" verticalDpi="0" r:id="rId1"/>
  <ignoredErrors>
    <ignoredError sqref="G7"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41E29-563D-204A-942E-3DFDC2C09E2F}">
  <sheetPr>
    <tabColor rgb="FFFFC000"/>
  </sheetPr>
  <dimension ref="A1:Q68"/>
  <sheetViews>
    <sheetView workbookViewId="0">
      <pane ySplit="3" topLeftCell="A4" activePane="bottomLeft" state="frozen"/>
      <selection pane="bottomLeft"/>
    </sheetView>
  </sheetViews>
  <sheetFormatPr baseColWidth="10" defaultColWidth="9.1640625" defaultRowHeight="19" x14ac:dyDescent="0.25"/>
  <cols>
    <col min="1" max="1" width="62.33203125" style="3" bestFit="1" customWidth="1"/>
    <col min="2" max="10" width="9.83203125" style="3" customWidth="1"/>
    <col min="11" max="11" width="9.83203125" style="9" customWidth="1"/>
    <col min="12" max="17" width="9.83203125" style="3" customWidth="1"/>
    <col min="18" max="16384" width="9.1640625" style="3"/>
  </cols>
  <sheetData>
    <row r="1" spans="1:17" ht="24" x14ac:dyDescent="0.3">
      <c r="A1" s="76" t="s">
        <v>209</v>
      </c>
      <c r="B1" s="33"/>
      <c r="C1" s="33"/>
      <c r="D1" s="33"/>
      <c r="E1" s="33"/>
      <c r="F1" s="33"/>
      <c r="G1" s="33"/>
      <c r="H1" s="2"/>
      <c r="K1" s="3"/>
    </row>
    <row r="2" spans="1:17" x14ac:dyDescent="0.25">
      <c r="A2" s="4" t="s">
        <v>208</v>
      </c>
      <c r="B2" s="4"/>
      <c r="C2" s="4"/>
      <c r="D2" s="4"/>
      <c r="E2" s="4"/>
      <c r="F2" s="4"/>
      <c r="G2" s="4"/>
      <c r="H2" s="2"/>
      <c r="I2" s="77"/>
      <c r="J2" s="77"/>
      <c r="K2" s="77"/>
      <c r="L2" s="77"/>
      <c r="M2" s="77"/>
      <c r="N2" s="77"/>
      <c r="O2" s="77"/>
      <c r="P2" s="77"/>
      <c r="Q2" s="77"/>
    </row>
    <row r="3" spans="1:17" s="8" customFormat="1" x14ac:dyDescent="0.25">
      <c r="A3" s="42" t="s">
        <v>115</v>
      </c>
      <c r="B3" s="44">
        <v>44834</v>
      </c>
      <c r="C3" s="44">
        <v>44742</v>
      </c>
      <c r="D3" s="44">
        <v>44651</v>
      </c>
      <c r="E3" s="44">
        <v>44561</v>
      </c>
      <c r="F3" s="44">
        <v>44469</v>
      </c>
      <c r="G3" s="44">
        <v>44377</v>
      </c>
      <c r="H3" s="44">
        <v>44286</v>
      </c>
      <c r="I3" s="44">
        <v>44196</v>
      </c>
      <c r="J3" s="44">
        <v>44104</v>
      </c>
      <c r="K3" s="44">
        <v>44012</v>
      </c>
      <c r="L3" s="44">
        <v>43920</v>
      </c>
      <c r="M3" s="75">
        <v>43830</v>
      </c>
      <c r="N3" s="44">
        <v>43738</v>
      </c>
      <c r="O3" s="44">
        <v>43646</v>
      </c>
      <c r="P3" s="44">
        <v>43555</v>
      </c>
      <c r="Q3" s="44">
        <v>43465</v>
      </c>
    </row>
    <row r="4" spans="1:17" x14ac:dyDescent="0.25">
      <c r="A4" s="8" t="s">
        <v>0</v>
      </c>
      <c r="B4" s="15"/>
      <c r="C4" s="15"/>
      <c r="D4" s="15"/>
      <c r="E4" s="15"/>
      <c r="F4" s="15"/>
      <c r="G4" s="15"/>
      <c r="H4" s="15"/>
      <c r="I4" s="15"/>
      <c r="J4" s="15"/>
      <c r="K4" s="15"/>
      <c r="L4" s="15"/>
      <c r="M4" s="15"/>
      <c r="N4" s="15"/>
      <c r="O4" s="36"/>
      <c r="P4" s="14"/>
      <c r="Q4" s="14"/>
    </row>
    <row r="5" spans="1:17" x14ac:dyDescent="0.25">
      <c r="A5" s="3" t="s">
        <v>1</v>
      </c>
      <c r="B5" s="14"/>
      <c r="C5" s="14"/>
      <c r="D5" s="14"/>
      <c r="E5" s="14"/>
      <c r="F5" s="14"/>
      <c r="G5" s="14"/>
      <c r="H5" s="14"/>
      <c r="I5" s="14"/>
      <c r="J5" s="14"/>
      <c r="K5" s="36"/>
      <c r="L5" s="14"/>
      <c r="M5" s="14"/>
      <c r="N5" s="14"/>
      <c r="O5" s="14"/>
      <c r="P5" s="14"/>
      <c r="Q5" s="14"/>
    </row>
    <row r="6" spans="1:17" x14ac:dyDescent="0.25">
      <c r="A6" s="3" t="s">
        <v>8</v>
      </c>
      <c r="B6" s="14">
        <v>231.5</v>
      </c>
      <c r="C6" s="14">
        <v>247.9</v>
      </c>
      <c r="D6" s="14">
        <v>234.2</v>
      </c>
      <c r="E6" s="14">
        <v>236.2</v>
      </c>
      <c r="F6" s="14">
        <v>250.5</v>
      </c>
      <c r="G6" s="14">
        <v>321.8</v>
      </c>
      <c r="H6" s="14">
        <v>333.9</v>
      </c>
      <c r="I6" s="14">
        <v>245.7</v>
      </c>
      <c r="J6" s="14">
        <v>331.8</v>
      </c>
      <c r="K6" s="36">
        <v>201.5</v>
      </c>
      <c r="L6" s="14">
        <v>160.69999999999999</v>
      </c>
      <c r="M6" s="14">
        <v>174.9</v>
      </c>
      <c r="N6" s="14">
        <v>191.2</v>
      </c>
      <c r="O6" s="14">
        <v>175</v>
      </c>
      <c r="P6" s="14">
        <v>185.4</v>
      </c>
      <c r="Q6" s="14">
        <v>167.2</v>
      </c>
    </row>
    <row r="7" spans="1:17" x14ac:dyDescent="0.25">
      <c r="A7" s="3" t="s">
        <v>120</v>
      </c>
      <c r="B7" s="14">
        <v>1110.5999999999999</v>
      </c>
      <c r="C7" s="14">
        <v>1103.9000000000001</v>
      </c>
      <c r="D7" s="14">
        <v>1071.5999999999999</v>
      </c>
      <c r="E7" s="14">
        <v>900.2</v>
      </c>
      <c r="F7" s="14">
        <v>949.4</v>
      </c>
      <c r="G7" s="14">
        <v>908.9</v>
      </c>
      <c r="H7" s="14">
        <v>851</v>
      </c>
      <c r="I7" s="14">
        <v>769.4</v>
      </c>
      <c r="J7" s="14">
        <v>834.5</v>
      </c>
      <c r="K7" s="36">
        <v>881.5</v>
      </c>
      <c r="L7" s="14">
        <v>833.9</v>
      </c>
      <c r="M7" s="14">
        <v>741.8</v>
      </c>
      <c r="N7" s="14">
        <v>817.3</v>
      </c>
      <c r="O7" s="14">
        <v>819.8</v>
      </c>
      <c r="P7" s="14">
        <v>793</v>
      </c>
      <c r="Q7" s="14">
        <v>714.3</v>
      </c>
    </row>
    <row r="8" spans="1:17" x14ac:dyDescent="0.25">
      <c r="A8" s="3" t="s">
        <v>9</v>
      </c>
      <c r="B8" s="14">
        <v>1678.1</v>
      </c>
      <c r="C8" s="14">
        <v>1665.2</v>
      </c>
      <c r="D8" s="14">
        <v>1600.8</v>
      </c>
      <c r="E8" s="14">
        <v>1523.6</v>
      </c>
      <c r="F8" s="14">
        <v>1401.1</v>
      </c>
      <c r="G8" s="14">
        <v>1327.9</v>
      </c>
      <c r="H8" s="14">
        <v>1305.3</v>
      </c>
      <c r="I8" s="14">
        <v>1337.5</v>
      </c>
      <c r="J8" s="14">
        <v>1342.6</v>
      </c>
      <c r="K8" s="36">
        <v>1401.5</v>
      </c>
      <c r="L8" s="14">
        <v>1345.5</v>
      </c>
      <c r="M8" s="14">
        <v>1366.4</v>
      </c>
      <c r="N8" s="14">
        <v>1354.7</v>
      </c>
      <c r="O8" s="14">
        <v>1345.7</v>
      </c>
      <c r="P8" s="14">
        <v>1293.9000000000001</v>
      </c>
      <c r="Q8" s="14">
        <v>1278.7</v>
      </c>
    </row>
    <row r="9" spans="1:17" x14ac:dyDescent="0.25">
      <c r="A9" s="3" t="s">
        <v>48</v>
      </c>
      <c r="B9" s="14">
        <v>0</v>
      </c>
      <c r="C9" s="14">
        <v>0</v>
      </c>
      <c r="D9" s="14">
        <v>0</v>
      </c>
      <c r="E9" s="14">
        <v>0</v>
      </c>
      <c r="F9" s="14">
        <v>0</v>
      </c>
      <c r="G9" s="14">
        <v>0</v>
      </c>
      <c r="H9" s="14">
        <v>0</v>
      </c>
      <c r="I9" s="14">
        <v>0</v>
      </c>
      <c r="J9" s="14">
        <v>0</v>
      </c>
      <c r="K9" s="36">
        <v>0</v>
      </c>
      <c r="L9" s="14">
        <v>0</v>
      </c>
      <c r="M9" s="14">
        <v>0</v>
      </c>
      <c r="N9" s="14">
        <v>0</v>
      </c>
      <c r="O9" s="14">
        <v>0</v>
      </c>
      <c r="P9" s="14">
        <v>0</v>
      </c>
      <c r="Q9" s="14">
        <v>0</v>
      </c>
    </row>
    <row r="10" spans="1:17" x14ac:dyDescent="0.25">
      <c r="A10" s="3" t="s">
        <v>40</v>
      </c>
      <c r="B10" s="14">
        <v>3.2</v>
      </c>
      <c r="C10" s="14">
        <v>6.5</v>
      </c>
      <c r="D10" s="14">
        <v>0</v>
      </c>
      <c r="E10" s="14">
        <v>8.5</v>
      </c>
      <c r="F10" s="14">
        <v>6.7</v>
      </c>
      <c r="G10" s="14">
        <v>0</v>
      </c>
      <c r="H10" s="14">
        <v>0</v>
      </c>
      <c r="I10" s="14">
        <v>6.7</v>
      </c>
      <c r="J10" s="14">
        <v>14.6</v>
      </c>
      <c r="K10" s="36">
        <v>0</v>
      </c>
      <c r="L10" s="14">
        <v>0</v>
      </c>
      <c r="M10" s="14">
        <v>16.7</v>
      </c>
      <c r="N10" s="14">
        <v>0.4</v>
      </c>
      <c r="O10" s="14">
        <v>4</v>
      </c>
      <c r="P10" s="14">
        <v>0</v>
      </c>
      <c r="Q10" s="14">
        <v>9</v>
      </c>
    </row>
    <row r="11" spans="1:17" x14ac:dyDescent="0.25">
      <c r="A11" s="3" t="s">
        <v>41</v>
      </c>
      <c r="B11" s="14">
        <v>172.2</v>
      </c>
      <c r="C11" s="14">
        <v>129.19999999999999</v>
      </c>
      <c r="D11" s="14">
        <v>127.4</v>
      </c>
      <c r="E11" s="14">
        <v>188.1</v>
      </c>
      <c r="F11" s="14">
        <v>162.6</v>
      </c>
      <c r="G11" s="14">
        <v>146.69999999999999</v>
      </c>
      <c r="H11" s="14">
        <v>124</v>
      </c>
      <c r="I11" s="14">
        <v>140.30000000000001</v>
      </c>
      <c r="J11" s="14">
        <v>123.2</v>
      </c>
      <c r="K11" s="36">
        <v>121.8</v>
      </c>
      <c r="L11" s="14">
        <v>124.2</v>
      </c>
      <c r="M11" s="14">
        <v>157.4</v>
      </c>
      <c r="N11" s="14">
        <v>137.19999999999999</v>
      </c>
      <c r="O11" s="14">
        <v>123.8</v>
      </c>
      <c r="P11" s="14">
        <v>116.9</v>
      </c>
      <c r="Q11" s="14">
        <v>147</v>
      </c>
    </row>
    <row r="12" spans="1:17" x14ac:dyDescent="0.25">
      <c r="A12" s="3" t="s">
        <v>23</v>
      </c>
      <c r="B12" s="37">
        <f t="shared" ref="B12:Q12" si="0">SUM(B6:B11)</f>
        <v>3195.5999999999995</v>
      </c>
      <c r="C12" s="37">
        <f t="shared" si="0"/>
        <v>3152.7</v>
      </c>
      <c r="D12" s="37">
        <f t="shared" si="0"/>
        <v>3034</v>
      </c>
      <c r="E12" s="37">
        <f t="shared" si="0"/>
        <v>2856.6</v>
      </c>
      <c r="F12" s="37">
        <f t="shared" si="0"/>
        <v>2770.2999999999997</v>
      </c>
      <c r="G12" s="37">
        <f t="shared" si="0"/>
        <v>2705.3</v>
      </c>
      <c r="H12" s="37">
        <f t="shared" si="0"/>
        <v>2614.1999999999998</v>
      </c>
      <c r="I12" s="37">
        <f t="shared" si="0"/>
        <v>2499.6</v>
      </c>
      <c r="J12" s="37">
        <f t="shared" si="0"/>
        <v>2646.6999999999994</v>
      </c>
      <c r="K12" s="37">
        <f t="shared" si="0"/>
        <v>2606.3000000000002</v>
      </c>
      <c r="L12" s="37">
        <f t="shared" si="0"/>
        <v>2464.2999999999997</v>
      </c>
      <c r="M12" s="37">
        <f t="shared" si="0"/>
        <v>2457.1999999999998</v>
      </c>
      <c r="N12" s="37">
        <f t="shared" si="0"/>
        <v>2500.7999999999997</v>
      </c>
      <c r="O12" s="37">
        <f t="shared" si="0"/>
        <v>2468.3000000000002</v>
      </c>
      <c r="P12" s="37">
        <f t="shared" si="0"/>
        <v>2389.2000000000003</v>
      </c>
      <c r="Q12" s="37">
        <f t="shared" si="0"/>
        <v>2316.1999999999998</v>
      </c>
    </row>
    <row r="13" spans="1:17" x14ac:dyDescent="0.25">
      <c r="A13" s="3" t="s">
        <v>42</v>
      </c>
      <c r="B13" s="14">
        <v>1008.5</v>
      </c>
      <c r="C13" s="14">
        <v>1008.7</v>
      </c>
      <c r="D13" s="14">
        <v>1008.4</v>
      </c>
      <c r="E13" s="14">
        <v>1019.2</v>
      </c>
      <c r="F13" s="14">
        <v>1019.2</v>
      </c>
      <c r="G13" s="14">
        <v>1015.8</v>
      </c>
      <c r="H13" s="14">
        <v>1022</v>
      </c>
      <c r="I13" s="14">
        <v>1030.7</v>
      </c>
      <c r="J13" s="14">
        <v>1023.7</v>
      </c>
      <c r="K13" s="36">
        <v>1029.7</v>
      </c>
      <c r="L13" s="14">
        <v>1027.7</v>
      </c>
      <c r="M13" s="14">
        <v>1023.2</v>
      </c>
      <c r="N13" s="14">
        <v>997.7</v>
      </c>
      <c r="O13" s="14">
        <v>975.1</v>
      </c>
      <c r="P13" s="14">
        <v>943.3</v>
      </c>
      <c r="Q13" s="14">
        <v>924.8</v>
      </c>
    </row>
    <row r="14" spans="1:17" x14ac:dyDescent="0.25">
      <c r="A14" s="3" t="s">
        <v>116</v>
      </c>
      <c r="B14" s="14">
        <v>249.8</v>
      </c>
      <c r="C14" s="14">
        <v>254.8</v>
      </c>
      <c r="D14" s="14">
        <v>246</v>
      </c>
      <c r="E14" s="14">
        <v>242.3</v>
      </c>
      <c r="F14" s="14">
        <v>249.7</v>
      </c>
      <c r="G14" s="14">
        <v>259.60000000000002</v>
      </c>
      <c r="H14" s="14">
        <v>249.6</v>
      </c>
      <c r="I14" s="14">
        <v>243</v>
      </c>
      <c r="J14" s="14">
        <v>244.4</v>
      </c>
      <c r="K14" s="36">
        <v>252.8</v>
      </c>
      <c r="L14" s="14">
        <v>242.4</v>
      </c>
      <c r="M14" s="14">
        <v>243.2</v>
      </c>
      <c r="N14" s="14">
        <v>238.4</v>
      </c>
      <c r="O14" s="14">
        <v>234.5</v>
      </c>
      <c r="P14" s="14">
        <v>220.9</v>
      </c>
      <c r="Q14" s="14">
        <v>0</v>
      </c>
    </row>
    <row r="15" spans="1:17" x14ac:dyDescent="0.25">
      <c r="A15" s="3" t="s">
        <v>43</v>
      </c>
      <c r="B15" s="14">
        <v>173.5</v>
      </c>
      <c r="C15" s="14">
        <v>176.1</v>
      </c>
      <c r="D15" s="14">
        <v>178.3</v>
      </c>
      <c r="E15" s="14">
        <v>180.9</v>
      </c>
      <c r="F15" s="14">
        <v>183.3</v>
      </c>
      <c r="G15" s="14">
        <v>185.9</v>
      </c>
      <c r="H15" s="14">
        <v>188.6</v>
      </c>
      <c r="I15" s="14">
        <v>191.4</v>
      </c>
      <c r="J15" s="14">
        <v>193.8</v>
      </c>
      <c r="K15" s="36">
        <v>196.4</v>
      </c>
      <c r="L15" s="14">
        <v>200.3</v>
      </c>
      <c r="M15" s="14">
        <v>76.3</v>
      </c>
      <c r="N15" s="14">
        <v>77.3</v>
      </c>
      <c r="O15" s="14">
        <v>78.5</v>
      </c>
      <c r="P15" s="14">
        <v>98.4</v>
      </c>
      <c r="Q15" s="14">
        <v>80.5</v>
      </c>
    </row>
    <row r="16" spans="1:17" ht="20" thickBot="1" x14ac:dyDescent="0.3">
      <c r="A16" s="8" t="s">
        <v>10</v>
      </c>
      <c r="B16" s="39">
        <f t="shared" ref="B16:Q16" si="1">SUM(B12:B15)</f>
        <v>4627.3999999999996</v>
      </c>
      <c r="C16" s="39">
        <f t="shared" si="1"/>
        <v>4592.3</v>
      </c>
      <c r="D16" s="39">
        <f t="shared" si="1"/>
        <v>4466.7</v>
      </c>
      <c r="E16" s="39">
        <f t="shared" si="1"/>
        <v>4299</v>
      </c>
      <c r="F16" s="39">
        <f t="shared" si="1"/>
        <v>4222.5</v>
      </c>
      <c r="G16" s="39">
        <f t="shared" si="1"/>
        <v>4166.6000000000004</v>
      </c>
      <c r="H16" s="39">
        <f t="shared" si="1"/>
        <v>4074.3999999999996</v>
      </c>
      <c r="I16" s="39">
        <f t="shared" si="1"/>
        <v>3964.7000000000003</v>
      </c>
      <c r="J16" s="39">
        <f t="shared" si="1"/>
        <v>4108.5999999999995</v>
      </c>
      <c r="K16" s="39">
        <f t="shared" si="1"/>
        <v>4085.2000000000003</v>
      </c>
      <c r="L16" s="39">
        <f t="shared" si="1"/>
        <v>3934.7000000000003</v>
      </c>
      <c r="M16" s="39">
        <f t="shared" si="1"/>
        <v>3799.8999999999996</v>
      </c>
      <c r="N16" s="39">
        <f t="shared" si="1"/>
        <v>3814.2000000000003</v>
      </c>
      <c r="O16" s="39">
        <f t="shared" si="1"/>
        <v>3756.4</v>
      </c>
      <c r="P16" s="39">
        <f t="shared" si="1"/>
        <v>3651.8</v>
      </c>
      <c r="Q16" s="39">
        <f t="shared" si="1"/>
        <v>3321.5</v>
      </c>
    </row>
    <row r="17" spans="1:17" ht="20" thickTop="1" x14ac:dyDescent="0.25">
      <c r="A17" s="8" t="s">
        <v>24</v>
      </c>
      <c r="B17" s="14"/>
      <c r="C17" s="14"/>
      <c r="D17" s="14"/>
      <c r="E17" s="14"/>
      <c r="F17" s="14"/>
      <c r="G17" s="14"/>
      <c r="H17" s="14"/>
      <c r="I17" s="14"/>
      <c r="J17" s="14"/>
      <c r="K17" s="36"/>
      <c r="L17" s="14"/>
      <c r="M17" s="14"/>
      <c r="N17" s="14"/>
      <c r="O17" s="14"/>
      <c r="P17" s="14"/>
      <c r="Q17" s="14"/>
    </row>
    <row r="18" spans="1:17" x14ac:dyDescent="0.25">
      <c r="A18" s="3" t="s">
        <v>2</v>
      </c>
      <c r="B18" s="14"/>
      <c r="C18" s="14"/>
      <c r="D18" s="14"/>
      <c r="E18" s="14"/>
      <c r="F18" s="14"/>
      <c r="G18" s="14"/>
      <c r="H18" s="14"/>
      <c r="I18" s="14"/>
      <c r="J18" s="14"/>
      <c r="K18" s="36"/>
      <c r="L18" s="14"/>
      <c r="M18" s="14"/>
      <c r="N18" s="14"/>
      <c r="O18" s="14"/>
      <c r="P18" s="14"/>
      <c r="Q18" s="14"/>
    </row>
    <row r="19" spans="1:17" x14ac:dyDescent="0.25">
      <c r="A19" s="3" t="s">
        <v>44</v>
      </c>
      <c r="B19" s="14">
        <v>150.30000000000001</v>
      </c>
      <c r="C19" s="14">
        <v>195</v>
      </c>
      <c r="D19" s="14">
        <v>35</v>
      </c>
      <c r="E19" s="14">
        <v>60</v>
      </c>
      <c r="F19" s="14">
        <v>35</v>
      </c>
      <c r="G19" s="14">
        <v>40</v>
      </c>
      <c r="H19" s="14">
        <v>40</v>
      </c>
      <c r="I19" s="14">
        <v>40</v>
      </c>
      <c r="J19" s="14">
        <v>40</v>
      </c>
      <c r="K19" s="36">
        <v>0</v>
      </c>
      <c r="L19" s="14">
        <v>4.9000000000000004</v>
      </c>
      <c r="M19" s="14">
        <v>3</v>
      </c>
      <c r="N19" s="14">
        <v>3</v>
      </c>
      <c r="O19" s="14">
        <v>3</v>
      </c>
      <c r="P19" s="14">
        <v>4.4000000000000004</v>
      </c>
      <c r="Q19" s="14">
        <v>3</v>
      </c>
    </row>
    <row r="20" spans="1:17" x14ac:dyDescent="0.25">
      <c r="A20" s="3" t="s">
        <v>11</v>
      </c>
      <c r="B20" s="14">
        <v>277.2</v>
      </c>
      <c r="C20" s="14">
        <v>291.8</v>
      </c>
      <c r="D20" s="14">
        <v>289.89999999999998</v>
      </c>
      <c r="E20" s="14">
        <v>233.1</v>
      </c>
      <c r="F20" s="14">
        <v>256.89999999999998</v>
      </c>
      <c r="G20" s="14">
        <v>236.1</v>
      </c>
      <c r="H20" s="14">
        <v>215.1</v>
      </c>
      <c r="I20" s="14">
        <v>207</v>
      </c>
      <c r="J20" s="14">
        <v>210.4</v>
      </c>
      <c r="K20" s="36">
        <v>194.1</v>
      </c>
      <c r="L20" s="14">
        <v>212.1</v>
      </c>
      <c r="M20" s="14">
        <v>192.8</v>
      </c>
      <c r="N20" s="14">
        <v>215.2</v>
      </c>
      <c r="O20" s="14">
        <v>203.8</v>
      </c>
      <c r="P20" s="14">
        <v>183.9</v>
      </c>
      <c r="Q20" s="14">
        <v>193.6</v>
      </c>
    </row>
    <row r="21" spans="1:17" x14ac:dyDescent="0.25">
      <c r="A21" s="3" t="s">
        <v>33</v>
      </c>
      <c r="B21" s="14">
        <v>282.39999999999998</v>
      </c>
      <c r="C21" s="14">
        <v>268.7</v>
      </c>
      <c r="D21" s="14">
        <v>268.2</v>
      </c>
      <c r="E21" s="14">
        <v>298.3</v>
      </c>
      <c r="F21" s="14">
        <v>278</v>
      </c>
      <c r="G21" s="14">
        <v>277.89999999999998</v>
      </c>
      <c r="H21" s="14">
        <v>265.8</v>
      </c>
      <c r="I21" s="14">
        <v>272.10000000000002</v>
      </c>
      <c r="J21" s="14">
        <v>258.2</v>
      </c>
      <c r="K21" s="36">
        <v>238.2</v>
      </c>
      <c r="L21" s="14">
        <v>227.5</v>
      </c>
      <c r="M21" s="14">
        <v>251.5</v>
      </c>
      <c r="N21" s="14">
        <v>241.3</v>
      </c>
      <c r="O21" s="14">
        <v>226</v>
      </c>
      <c r="P21" s="14">
        <v>232.8</v>
      </c>
      <c r="Q21" s="14">
        <v>240.8</v>
      </c>
    </row>
    <row r="22" spans="1:17" x14ac:dyDescent="0.25">
      <c r="A22" s="3" t="s">
        <v>117</v>
      </c>
      <c r="B22" s="14">
        <v>92.7</v>
      </c>
      <c r="C22" s="14">
        <v>93.5</v>
      </c>
      <c r="D22" s="14">
        <v>91.3</v>
      </c>
      <c r="E22" s="14">
        <v>90.8</v>
      </c>
      <c r="F22" s="14">
        <v>92.6</v>
      </c>
      <c r="G22" s="14">
        <v>94.8</v>
      </c>
      <c r="H22" s="14">
        <v>93.1</v>
      </c>
      <c r="I22" s="14">
        <v>93.6</v>
      </c>
      <c r="J22" s="14">
        <v>94.4</v>
      </c>
      <c r="K22" s="36">
        <v>96.7</v>
      </c>
      <c r="L22" s="14">
        <v>96.4</v>
      </c>
      <c r="M22" s="14">
        <v>97.4</v>
      </c>
      <c r="N22" s="14">
        <v>95.6</v>
      </c>
      <c r="O22" s="14">
        <v>95.1</v>
      </c>
      <c r="P22" s="14">
        <v>91.8</v>
      </c>
      <c r="Q22" s="14">
        <v>0</v>
      </c>
    </row>
    <row r="23" spans="1:17" x14ac:dyDescent="0.25">
      <c r="A23" s="3" t="s">
        <v>12</v>
      </c>
      <c r="B23" s="14">
        <v>0</v>
      </c>
      <c r="C23" s="14">
        <v>0</v>
      </c>
      <c r="D23" s="14">
        <v>61.1</v>
      </c>
      <c r="E23" s="14">
        <v>0</v>
      </c>
      <c r="F23" s="14">
        <v>0</v>
      </c>
      <c r="G23" s="14">
        <v>1.4</v>
      </c>
      <c r="H23" s="14">
        <v>47.2</v>
      </c>
      <c r="I23" s="14">
        <v>0</v>
      </c>
      <c r="J23" s="14">
        <v>0</v>
      </c>
      <c r="K23" s="36">
        <v>102.3</v>
      </c>
      <c r="L23" s="14">
        <v>39.5</v>
      </c>
      <c r="M23" s="14">
        <v>0</v>
      </c>
      <c r="N23" s="14">
        <v>0</v>
      </c>
      <c r="O23" s="14">
        <v>0</v>
      </c>
      <c r="P23" s="14">
        <v>41.7</v>
      </c>
      <c r="Q23" s="14">
        <v>0</v>
      </c>
    </row>
    <row r="24" spans="1:17" x14ac:dyDescent="0.25">
      <c r="A24" s="3" t="s">
        <v>26</v>
      </c>
      <c r="B24" s="37">
        <f t="shared" ref="B24:Q24" si="2">SUM(B19:B23)</f>
        <v>802.6</v>
      </c>
      <c r="C24" s="37">
        <f t="shared" si="2"/>
        <v>849</v>
      </c>
      <c r="D24" s="37">
        <f t="shared" si="2"/>
        <v>745.49999999999989</v>
      </c>
      <c r="E24" s="37">
        <f t="shared" si="2"/>
        <v>682.2</v>
      </c>
      <c r="F24" s="37">
        <f t="shared" si="2"/>
        <v>662.5</v>
      </c>
      <c r="G24" s="37">
        <f t="shared" si="2"/>
        <v>650.19999999999993</v>
      </c>
      <c r="H24" s="37">
        <f t="shared" si="2"/>
        <v>661.2</v>
      </c>
      <c r="I24" s="37">
        <f t="shared" si="2"/>
        <v>612.70000000000005</v>
      </c>
      <c r="J24" s="37">
        <f t="shared" si="2"/>
        <v>603</v>
      </c>
      <c r="K24" s="37">
        <f t="shared" si="2"/>
        <v>631.29999999999995</v>
      </c>
      <c r="L24" s="37">
        <f t="shared" si="2"/>
        <v>580.4</v>
      </c>
      <c r="M24" s="37">
        <f t="shared" si="2"/>
        <v>544.70000000000005</v>
      </c>
      <c r="N24" s="37">
        <f t="shared" si="2"/>
        <v>555.1</v>
      </c>
      <c r="O24" s="37">
        <f t="shared" si="2"/>
        <v>527.9</v>
      </c>
      <c r="P24" s="37">
        <f t="shared" si="2"/>
        <v>554.6</v>
      </c>
      <c r="Q24" s="37">
        <f t="shared" si="2"/>
        <v>437.4</v>
      </c>
    </row>
    <row r="25" spans="1:17" x14ac:dyDescent="0.25">
      <c r="A25" s="3" t="s">
        <v>28</v>
      </c>
      <c r="B25" s="14">
        <v>404.7</v>
      </c>
      <c r="C25" s="14">
        <v>310</v>
      </c>
      <c r="D25" s="14">
        <v>330</v>
      </c>
      <c r="E25" s="14">
        <v>330</v>
      </c>
      <c r="F25" s="14">
        <v>330</v>
      </c>
      <c r="G25" s="14">
        <v>365</v>
      </c>
      <c r="H25" s="14">
        <v>365</v>
      </c>
      <c r="I25" s="14">
        <v>365</v>
      </c>
      <c r="J25" s="14">
        <v>365</v>
      </c>
      <c r="K25" s="36">
        <v>405</v>
      </c>
      <c r="L25" s="14">
        <v>450.1</v>
      </c>
      <c r="M25" s="14">
        <v>342</v>
      </c>
      <c r="N25" s="14">
        <v>442</v>
      </c>
      <c r="O25" s="14">
        <v>497</v>
      </c>
      <c r="P25" s="14">
        <v>484.6</v>
      </c>
      <c r="Q25" s="14">
        <v>497</v>
      </c>
    </row>
    <row r="26" spans="1:17" x14ac:dyDescent="0.25">
      <c r="A26" s="3" t="s">
        <v>118</v>
      </c>
      <c r="B26" s="14">
        <v>161.19999999999999</v>
      </c>
      <c r="C26" s="14">
        <v>165.5</v>
      </c>
      <c r="D26" s="14">
        <v>159.6</v>
      </c>
      <c r="E26" s="14">
        <v>156</v>
      </c>
      <c r="F26" s="14">
        <v>160.69999999999999</v>
      </c>
      <c r="G26" s="14">
        <v>167.6</v>
      </c>
      <c r="H26" s="14">
        <v>158.9</v>
      </c>
      <c r="I26" s="14">
        <v>151.5</v>
      </c>
      <c r="J26" s="14">
        <v>152.1</v>
      </c>
      <c r="K26" s="36">
        <v>158</v>
      </c>
      <c r="L26" s="14">
        <v>147.69999999999999</v>
      </c>
      <c r="M26" s="14">
        <v>148.19999999999999</v>
      </c>
      <c r="N26" s="14">
        <v>144.80000000000001</v>
      </c>
      <c r="O26" s="14">
        <v>141.1</v>
      </c>
      <c r="P26" s="14">
        <v>130.4</v>
      </c>
      <c r="Q26" s="14">
        <v>0</v>
      </c>
    </row>
    <row r="27" spans="1:17" x14ac:dyDescent="0.25">
      <c r="A27" s="3" t="s">
        <v>27</v>
      </c>
      <c r="B27" s="14">
        <v>92.9</v>
      </c>
      <c r="C27" s="14">
        <v>89.1</v>
      </c>
      <c r="D27" s="14">
        <v>89.6</v>
      </c>
      <c r="E27" s="14">
        <v>88.6</v>
      </c>
      <c r="F27" s="14">
        <v>104.6</v>
      </c>
      <c r="G27" s="14">
        <v>103</v>
      </c>
      <c r="H27" s="14">
        <v>102.6</v>
      </c>
      <c r="I27" s="14">
        <v>102.3</v>
      </c>
      <c r="J27" s="14">
        <v>102.9</v>
      </c>
      <c r="K27" s="36">
        <v>100.3</v>
      </c>
      <c r="L27" s="14">
        <v>99.9</v>
      </c>
      <c r="M27" s="14">
        <v>99.4</v>
      </c>
      <c r="N27" s="14">
        <v>86.6</v>
      </c>
      <c r="O27" s="14">
        <v>86.7</v>
      </c>
      <c r="P27" s="14">
        <v>85</v>
      </c>
      <c r="Q27" s="14">
        <v>84.4</v>
      </c>
    </row>
    <row r="28" spans="1:17" x14ac:dyDescent="0.25">
      <c r="A28" s="3" t="s">
        <v>119</v>
      </c>
      <c r="B28" s="14">
        <v>4.8</v>
      </c>
      <c r="C28" s="14">
        <v>0</v>
      </c>
      <c r="D28" s="14">
        <v>0</v>
      </c>
      <c r="E28" s="14">
        <v>0</v>
      </c>
      <c r="F28" s="14">
        <v>0</v>
      </c>
      <c r="G28" s="14">
        <v>0</v>
      </c>
      <c r="H28" s="14">
        <v>0</v>
      </c>
      <c r="I28" s="14">
        <v>0</v>
      </c>
      <c r="J28" s="14">
        <v>0</v>
      </c>
      <c r="K28" s="36">
        <v>7.6</v>
      </c>
      <c r="L28" s="14">
        <v>0</v>
      </c>
      <c r="M28" s="14">
        <v>0</v>
      </c>
      <c r="N28" s="14">
        <v>0</v>
      </c>
      <c r="O28" s="14">
        <v>0</v>
      </c>
      <c r="P28" s="14"/>
      <c r="Q28" s="14">
        <v>0</v>
      </c>
    </row>
    <row r="29" spans="1:17" x14ac:dyDescent="0.25">
      <c r="A29" s="3" t="s">
        <v>45</v>
      </c>
      <c r="B29" s="14"/>
      <c r="C29" s="14"/>
      <c r="D29" s="14"/>
      <c r="E29" s="14"/>
      <c r="F29" s="14"/>
      <c r="G29" s="14"/>
      <c r="H29" s="14"/>
      <c r="I29" s="14"/>
      <c r="J29" s="14"/>
      <c r="K29" s="36"/>
      <c r="L29" s="14"/>
      <c r="M29" s="14"/>
      <c r="N29" s="14"/>
      <c r="O29" s="14"/>
      <c r="P29" s="14"/>
      <c r="Q29" s="14"/>
    </row>
    <row r="30" spans="1:17" x14ac:dyDescent="0.25">
      <c r="A30" s="3" t="s">
        <v>46</v>
      </c>
      <c r="B30" s="14">
        <v>0</v>
      </c>
      <c r="C30" s="14">
        <v>0</v>
      </c>
      <c r="D30" s="14">
        <v>0</v>
      </c>
      <c r="E30" s="14">
        <v>0</v>
      </c>
      <c r="F30" s="14">
        <v>0</v>
      </c>
      <c r="G30" s="14">
        <v>0</v>
      </c>
      <c r="H30" s="14">
        <v>0</v>
      </c>
      <c r="I30" s="14">
        <v>0</v>
      </c>
      <c r="J30" s="14">
        <v>0</v>
      </c>
      <c r="K30" s="36">
        <v>0</v>
      </c>
      <c r="L30" s="14">
        <v>0</v>
      </c>
      <c r="M30" s="14">
        <v>0</v>
      </c>
      <c r="N30" s="14">
        <v>0</v>
      </c>
      <c r="O30" s="14">
        <v>0</v>
      </c>
      <c r="P30" s="14">
        <v>0</v>
      </c>
      <c r="Q30" s="14">
        <v>0</v>
      </c>
    </row>
    <row r="31" spans="1:17" x14ac:dyDescent="0.25">
      <c r="A31" s="3" t="s">
        <v>13</v>
      </c>
      <c r="B31" s="14">
        <v>5.8</v>
      </c>
      <c r="C31" s="14">
        <v>5.8</v>
      </c>
      <c r="D31" s="14">
        <v>5.8</v>
      </c>
      <c r="E31" s="14">
        <v>5.8</v>
      </c>
      <c r="F31" s="14">
        <v>2.9</v>
      </c>
      <c r="G31" s="14">
        <v>2.9</v>
      </c>
      <c r="H31" s="14">
        <v>2.9</v>
      </c>
      <c r="I31" s="14">
        <v>2.9</v>
      </c>
      <c r="J31" s="14">
        <v>2.9</v>
      </c>
      <c r="K31" s="36">
        <v>2.9</v>
      </c>
      <c r="L31" s="14">
        <v>2.9</v>
      </c>
      <c r="M31" s="14">
        <v>2.9</v>
      </c>
      <c r="N31" s="14">
        <v>2.9</v>
      </c>
      <c r="O31" s="14">
        <v>2.9</v>
      </c>
      <c r="P31" s="14">
        <v>2.9</v>
      </c>
      <c r="Q31" s="14">
        <v>2.9</v>
      </c>
    </row>
    <row r="32" spans="1:17" x14ac:dyDescent="0.25">
      <c r="A32" s="3" t="s">
        <v>29</v>
      </c>
      <c r="B32" s="14">
        <v>2.8</v>
      </c>
      <c r="C32" s="14">
        <v>55.7</v>
      </c>
      <c r="D32" s="14">
        <v>101.6</v>
      </c>
      <c r="E32" s="14">
        <v>96.2</v>
      </c>
      <c r="F32" s="14">
        <v>90.6</v>
      </c>
      <c r="G32" s="14">
        <v>78.400000000000006</v>
      </c>
      <c r="H32" s="14">
        <v>70</v>
      </c>
      <c r="I32" s="14">
        <v>61.9</v>
      </c>
      <c r="J32" s="14">
        <v>57.8</v>
      </c>
      <c r="K32" s="36">
        <v>44.4</v>
      </c>
      <c r="L32" s="14">
        <v>24.2</v>
      </c>
      <c r="M32" s="14">
        <v>67.2</v>
      </c>
      <c r="N32" s="14">
        <v>50.3</v>
      </c>
      <c r="O32" s="14">
        <v>46</v>
      </c>
      <c r="P32" s="14">
        <v>22.7</v>
      </c>
      <c r="Q32" s="14">
        <v>3</v>
      </c>
    </row>
    <row r="33" spans="1:17" x14ac:dyDescent="0.25">
      <c r="A33" s="3" t="s">
        <v>14</v>
      </c>
      <c r="B33" s="14">
        <v>3239.7</v>
      </c>
      <c r="C33" s="14">
        <v>3171.6</v>
      </c>
      <c r="D33" s="14">
        <v>3063</v>
      </c>
      <c r="E33" s="14">
        <v>2970.9</v>
      </c>
      <c r="F33" s="14">
        <v>2900.8</v>
      </c>
      <c r="G33" s="14">
        <v>2818.3</v>
      </c>
      <c r="H33" s="14">
        <v>2739.4</v>
      </c>
      <c r="I33" s="14">
        <v>2689.6</v>
      </c>
      <c r="J33" s="14">
        <v>2866.7</v>
      </c>
      <c r="K33" s="36">
        <v>2788.6</v>
      </c>
      <c r="L33" s="14">
        <v>2692.9</v>
      </c>
      <c r="M33" s="14">
        <v>2633.9</v>
      </c>
      <c r="N33" s="14">
        <v>2581.5</v>
      </c>
      <c r="O33" s="14">
        <v>2494.1999999999998</v>
      </c>
      <c r="P33" s="14">
        <v>2412.6999999999998</v>
      </c>
      <c r="Q33" s="14">
        <v>2341.6</v>
      </c>
    </row>
    <row r="34" spans="1:17" x14ac:dyDescent="0.25">
      <c r="A34" s="3" t="s">
        <v>30</v>
      </c>
      <c r="B34" s="14">
        <v>-87.1</v>
      </c>
      <c r="C34" s="14">
        <v>-54.4</v>
      </c>
      <c r="D34" s="14">
        <v>-28.4</v>
      </c>
      <c r="E34" s="14">
        <v>-30.7</v>
      </c>
      <c r="F34" s="14">
        <v>-29.6</v>
      </c>
      <c r="G34" s="14">
        <v>-18.8</v>
      </c>
      <c r="H34" s="14">
        <v>-25.6</v>
      </c>
      <c r="I34" s="14">
        <v>-21.2</v>
      </c>
      <c r="J34" s="14">
        <v>-41.8</v>
      </c>
      <c r="K34" s="36">
        <v>-52.9</v>
      </c>
      <c r="L34" s="14">
        <v>-63.4</v>
      </c>
      <c r="M34" s="14">
        <v>-38.4</v>
      </c>
      <c r="N34" s="14">
        <v>-49</v>
      </c>
      <c r="O34" s="14">
        <v>-39.4</v>
      </c>
      <c r="P34" s="14">
        <v>-41.1</v>
      </c>
      <c r="Q34" s="14">
        <v>-44.8</v>
      </c>
    </row>
    <row r="35" spans="1:17" x14ac:dyDescent="0.25">
      <c r="A35" s="8" t="s">
        <v>31</v>
      </c>
      <c r="B35" s="40">
        <f t="shared" ref="B35:Q35" si="3">SUM(B30:B34)</f>
        <v>3161.2</v>
      </c>
      <c r="C35" s="40">
        <f t="shared" si="3"/>
        <v>3178.7</v>
      </c>
      <c r="D35" s="40">
        <f t="shared" si="3"/>
        <v>3142</v>
      </c>
      <c r="E35" s="40">
        <f t="shared" si="3"/>
        <v>3042.2000000000003</v>
      </c>
      <c r="F35" s="40">
        <f t="shared" si="3"/>
        <v>2964.7000000000003</v>
      </c>
      <c r="G35" s="40">
        <f t="shared" si="3"/>
        <v>2880.8</v>
      </c>
      <c r="H35" s="40">
        <f t="shared" si="3"/>
        <v>2786.7000000000003</v>
      </c>
      <c r="I35" s="40">
        <f t="shared" si="3"/>
        <v>2733.2000000000003</v>
      </c>
      <c r="J35" s="40">
        <f t="shared" si="3"/>
        <v>2885.5999999999995</v>
      </c>
      <c r="K35" s="40">
        <f t="shared" si="3"/>
        <v>2783</v>
      </c>
      <c r="L35" s="40">
        <f t="shared" si="3"/>
        <v>2656.6</v>
      </c>
      <c r="M35" s="40">
        <f t="shared" si="3"/>
        <v>2665.6</v>
      </c>
      <c r="N35" s="40">
        <f t="shared" si="3"/>
        <v>2585.6999999999998</v>
      </c>
      <c r="O35" s="40">
        <f t="shared" si="3"/>
        <v>2503.6999999999998</v>
      </c>
      <c r="P35" s="40">
        <f t="shared" si="3"/>
        <v>2397.1999999999998</v>
      </c>
      <c r="Q35" s="40">
        <f t="shared" si="3"/>
        <v>2302.6999999999998</v>
      </c>
    </row>
    <row r="36" spans="1:17" ht="20" thickBot="1" x14ac:dyDescent="0.3">
      <c r="A36" s="8" t="s">
        <v>224</v>
      </c>
      <c r="B36" s="39">
        <f>B24+SUM(B25:B28)+B35</f>
        <v>4627.3999999999996</v>
      </c>
      <c r="C36" s="39">
        <f t="shared" ref="C36:Q36" si="4">C24+SUM(C25:C28)+C35</f>
        <v>4592.2999999999993</v>
      </c>
      <c r="D36" s="39">
        <f t="shared" si="4"/>
        <v>4466.7</v>
      </c>
      <c r="E36" s="39">
        <f t="shared" si="4"/>
        <v>4299</v>
      </c>
      <c r="F36" s="39">
        <f t="shared" si="4"/>
        <v>4222.5</v>
      </c>
      <c r="G36" s="39">
        <f t="shared" si="4"/>
        <v>4166.6000000000004</v>
      </c>
      <c r="H36" s="39">
        <f t="shared" si="4"/>
        <v>4074.4000000000005</v>
      </c>
      <c r="I36" s="39">
        <f t="shared" si="4"/>
        <v>3964.7000000000003</v>
      </c>
      <c r="J36" s="39">
        <f t="shared" si="4"/>
        <v>4108.5999999999995</v>
      </c>
      <c r="K36" s="39">
        <f t="shared" si="4"/>
        <v>4085.2</v>
      </c>
      <c r="L36" s="39">
        <f t="shared" si="4"/>
        <v>3934.7</v>
      </c>
      <c r="M36" s="39">
        <f t="shared" si="4"/>
        <v>3799.9</v>
      </c>
      <c r="N36" s="39">
        <f t="shared" si="4"/>
        <v>3814.2</v>
      </c>
      <c r="O36" s="39">
        <f t="shared" si="4"/>
        <v>3756.3999999999996</v>
      </c>
      <c r="P36" s="39">
        <f t="shared" si="4"/>
        <v>3651.7999999999997</v>
      </c>
      <c r="Q36" s="39">
        <f t="shared" si="4"/>
        <v>3321.5</v>
      </c>
    </row>
    <row r="37" spans="1:17" ht="20" thickTop="1" x14ac:dyDescent="0.25">
      <c r="B37" s="10">
        <f t="shared" ref="B37:Q37" si="5">B36-B16</f>
        <v>0</v>
      </c>
      <c r="C37" s="10">
        <f t="shared" si="5"/>
        <v>0</v>
      </c>
      <c r="D37" s="10">
        <f t="shared" si="5"/>
        <v>0</v>
      </c>
      <c r="E37" s="10">
        <f t="shared" si="5"/>
        <v>0</v>
      </c>
      <c r="F37" s="10">
        <f t="shared" si="5"/>
        <v>0</v>
      </c>
      <c r="G37" s="10">
        <f t="shared" si="5"/>
        <v>0</v>
      </c>
      <c r="H37" s="10">
        <f t="shared" si="5"/>
        <v>0</v>
      </c>
      <c r="I37" s="10">
        <f t="shared" si="5"/>
        <v>0</v>
      </c>
      <c r="J37" s="10">
        <f t="shared" si="5"/>
        <v>0</v>
      </c>
      <c r="K37" s="10">
        <f>K36-K16</f>
        <v>0</v>
      </c>
      <c r="L37" s="10">
        <f t="shared" si="5"/>
        <v>0</v>
      </c>
      <c r="M37" s="10">
        <f t="shared" si="5"/>
        <v>0</v>
      </c>
      <c r="N37" s="10">
        <f t="shared" si="5"/>
        <v>0</v>
      </c>
      <c r="O37" s="10">
        <f t="shared" si="5"/>
        <v>0</v>
      </c>
      <c r="P37" s="10">
        <f t="shared" si="5"/>
        <v>0</v>
      </c>
      <c r="Q37" s="10">
        <f t="shared" si="5"/>
        <v>0</v>
      </c>
    </row>
    <row r="38" spans="1:17" x14ac:dyDescent="0.25">
      <c r="A38" s="3" t="s">
        <v>39</v>
      </c>
      <c r="B38" s="14">
        <f t="shared" ref="B38:Q38" si="6">B12/B24</f>
        <v>3.9815599302267621</v>
      </c>
      <c r="C38" s="14">
        <f t="shared" si="6"/>
        <v>3.7134275618374555</v>
      </c>
      <c r="D38" s="14">
        <f t="shared" si="6"/>
        <v>4.0697518443997325</v>
      </c>
      <c r="E38" s="14">
        <f t="shared" si="6"/>
        <v>4.1873350923482846</v>
      </c>
      <c r="F38" s="14">
        <f t="shared" si="6"/>
        <v>4.1815849056603769</v>
      </c>
      <c r="G38" s="14">
        <f t="shared" si="6"/>
        <v>4.1607197785296837</v>
      </c>
      <c r="H38" s="14">
        <f t="shared" si="6"/>
        <v>3.9537205081669686</v>
      </c>
      <c r="I38" s="14">
        <f t="shared" si="6"/>
        <v>4.0796474620532068</v>
      </c>
      <c r="J38" s="14">
        <f t="shared" si="6"/>
        <v>4.3892205638474282</v>
      </c>
      <c r="K38" s="14">
        <f t="shared" si="6"/>
        <v>4.1284650720734994</v>
      </c>
      <c r="L38" s="14">
        <f t="shared" si="6"/>
        <v>4.2458649207443138</v>
      </c>
      <c r="M38" s="14">
        <f t="shared" si="6"/>
        <v>4.5111070313934265</v>
      </c>
      <c r="N38" s="14">
        <f t="shared" si="6"/>
        <v>4.5051342100522422</v>
      </c>
      <c r="O38" s="14">
        <f t="shared" si="6"/>
        <v>4.6756961545747302</v>
      </c>
      <c r="P38" s="14">
        <f t="shared" si="6"/>
        <v>4.307969707897584</v>
      </c>
      <c r="Q38" s="14">
        <f t="shared" si="6"/>
        <v>5.2953818015546412</v>
      </c>
    </row>
    <row r="39" spans="1:17" x14ac:dyDescent="0.25">
      <c r="B39" s="10"/>
      <c r="C39" s="10"/>
      <c r="D39" s="10"/>
      <c r="E39" s="10"/>
      <c r="F39" s="10"/>
      <c r="G39" s="10"/>
      <c r="H39" s="10"/>
      <c r="I39" s="10"/>
      <c r="J39" s="10"/>
      <c r="L39" s="10"/>
      <c r="M39" s="10"/>
      <c r="N39" s="10"/>
      <c r="O39" s="10"/>
      <c r="P39" s="10"/>
      <c r="Q39" s="10"/>
    </row>
    <row r="40" spans="1:17" x14ac:dyDescent="0.25">
      <c r="A40" s="8" t="s">
        <v>134</v>
      </c>
      <c r="B40" s="10"/>
      <c r="C40" s="10"/>
      <c r="D40" s="10"/>
      <c r="E40" s="10"/>
      <c r="F40" s="10"/>
      <c r="G40" s="10"/>
      <c r="H40" s="10"/>
      <c r="I40" s="10"/>
      <c r="J40" s="10"/>
      <c r="L40" s="10"/>
      <c r="M40" s="10"/>
      <c r="N40" s="10"/>
      <c r="O40" s="10"/>
      <c r="P40" s="10"/>
      <c r="Q40" s="10"/>
    </row>
    <row r="41" spans="1:17" x14ac:dyDescent="0.25">
      <c r="A41" s="3" t="s">
        <v>135</v>
      </c>
      <c r="B41" s="14">
        <f t="shared" ref="B41:Q41" si="7">B35</f>
        <v>3161.2</v>
      </c>
      <c r="C41" s="14">
        <f t="shared" si="7"/>
        <v>3178.7</v>
      </c>
      <c r="D41" s="14">
        <f t="shared" si="7"/>
        <v>3142</v>
      </c>
      <c r="E41" s="14">
        <f t="shared" si="7"/>
        <v>3042.2000000000003</v>
      </c>
      <c r="F41" s="14">
        <f t="shared" si="7"/>
        <v>2964.7000000000003</v>
      </c>
      <c r="G41" s="14">
        <f t="shared" si="7"/>
        <v>2880.8</v>
      </c>
      <c r="H41" s="14">
        <f t="shared" si="7"/>
        <v>2786.7000000000003</v>
      </c>
      <c r="I41" s="14">
        <f t="shared" si="7"/>
        <v>2733.2000000000003</v>
      </c>
      <c r="J41" s="14">
        <f t="shared" si="7"/>
        <v>2885.5999999999995</v>
      </c>
      <c r="K41" s="14">
        <f t="shared" si="7"/>
        <v>2783</v>
      </c>
      <c r="L41" s="14">
        <f t="shared" si="7"/>
        <v>2656.6</v>
      </c>
      <c r="M41" s="14">
        <f t="shared" si="7"/>
        <v>2665.6</v>
      </c>
      <c r="N41" s="14">
        <f t="shared" si="7"/>
        <v>2585.6999999999998</v>
      </c>
      <c r="O41" s="14">
        <f t="shared" si="7"/>
        <v>2503.6999999999998</v>
      </c>
      <c r="P41" s="14">
        <f t="shared" si="7"/>
        <v>2397.1999999999998</v>
      </c>
      <c r="Q41" s="14">
        <f t="shared" si="7"/>
        <v>2302.6999999999998</v>
      </c>
    </row>
    <row r="42" spans="1:17" x14ac:dyDescent="0.25">
      <c r="A42" s="3" t="s">
        <v>136</v>
      </c>
      <c r="B42" s="14">
        <f t="shared" ref="B42:Q42" si="8">B25+B19</f>
        <v>555</v>
      </c>
      <c r="C42" s="14">
        <f t="shared" si="8"/>
        <v>505</v>
      </c>
      <c r="D42" s="14">
        <f t="shared" si="8"/>
        <v>365</v>
      </c>
      <c r="E42" s="14">
        <f t="shared" si="8"/>
        <v>390</v>
      </c>
      <c r="F42" s="14">
        <f t="shared" si="8"/>
        <v>365</v>
      </c>
      <c r="G42" s="14">
        <f t="shared" si="8"/>
        <v>405</v>
      </c>
      <c r="H42" s="14">
        <f t="shared" si="8"/>
        <v>405</v>
      </c>
      <c r="I42" s="14">
        <f t="shared" si="8"/>
        <v>405</v>
      </c>
      <c r="J42" s="14">
        <f t="shared" si="8"/>
        <v>405</v>
      </c>
      <c r="K42" s="14">
        <f t="shared" si="8"/>
        <v>405</v>
      </c>
      <c r="L42" s="14">
        <f t="shared" si="8"/>
        <v>455</v>
      </c>
      <c r="M42" s="14">
        <f t="shared" si="8"/>
        <v>345</v>
      </c>
      <c r="N42" s="14">
        <f t="shared" si="8"/>
        <v>445</v>
      </c>
      <c r="O42" s="14">
        <f t="shared" si="8"/>
        <v>500</v>
      </c>
      <c r="P42" s="14">
        <f t="shared" si="8"/>
        <v>489</v>
      </c>
      <c r="Q42" s="14">
        <f t="shared" si="8"/>
        <v>500</v>
      </c>
    </row>
    <row r="43" spans="1:17" ht="20" thickBot="1" x14ac:dyDescent="0.3">
      <c r="A43" s="8" t="s">
        <v>134</v>
      </c>
      <c r="B43" s="39">
        <f>SUM(B41:B42)</f>
        <v>3716.2</v>
      </c>
      <c r="C43" s="39">
        <f t="shared" ref="C43:Q43" si="9">SUM(C41:C42)</f>
        <v>3683.7</v>
      </c>
      <c r="D43" s="39">
        <f t="shared" si="9"/>
        <v>3507</v>
      </c>
      <c r="E43" s="39">
        <f t="shared" si="9"/>
        <v>3432.2000000000003</v>
      </c>
      <c r="F43" s="39">
        <f t="shared" si="9"/>
        <v>3329.7000000000003</v>
      </c>
      <c r="G43" s="39">
        <f t="shared" si="9"/>
        <v>3285.8</v>
      </c>
      <c r="H43" s="39">
        <f t="shared" si="9"/>
        <v>3191.7000000000003</v>
      </c>
      <c r="I43" s="39">
        <f t="shared" si="9"/>
        <v>3138.2000000000003</v>
      </c>
      <c r="J43" s="39">
        <f t="shared" si="9"/>
        <v>3290.5999999999995</v>
      </c>
      <c r="K43" s="39">
        <f t="shared" si="9"/>
        <v>3188</v>
      </c>
      <c r="L43" s="39">
        <f t="shared" si="9"/>
        <v>3111.6</v>
      </c>
      <c r="M43" s="39">
        <f t="shared" si="9"/>
        <v>3010.6</v>
      </c>
      <c r="N43" s="39">
        <f t="shared" si="9"/>
        <v>3030.7</v>
      </c>
      <c r="O43" s="39">
        <f t="shared" si="9"/>
        <v>3003.7</v>
      </c>
      <c r="P43" s="39">
        <f t="shared" si="9"/>
        <v>2886.2</v>
      </c>
      <c r="Q43" s="39">
        <f t="shared" si="9"/>
        <v>2802.7</v>
      </c>
    </row>
    <row r="44" spans="1:17" ht="20" thickTop="1" x14ac:dyDescent="0.25">
      <c r="B44" s="10"/>
      <c r="C44" s="10"/>
      <c r="D44" s="10"/>
      <c r="E44" s="10"/>
      <c r="F44" s="10"/>
      <c r="G44" s="10"/>
      <c r="H44" s="10"/>
      <c r="I44" s="10"/>
      <c r="J44" s="10"/>
      <c r="L44" s="10"/>
      <c r="M44" s="10"/>
      <c r="N44" s="10"/>
      <c r="O44" s="10"/>
      <c r="P44" s="10"/>
      <c r="Q44" s="10"/>
    </row>
    <row r="45" spans="1:17" x14ac:dyDescent="0.25">
      <c r="A45" s="3" t="s">
        <v>210</v>
      </c>
      <c r="B45" s="14">
        <f>'Operating Summary (Quarterly)'!B15</f>
        <v>284.60000000000008</v>
      </c>
      <c r="C45" s="14">
        <f>'Operating Summary (Quarterly)'!C15</f>
        <v>287.09999999999991</v>
      </c>
      <c r="D45" s="14">
        <f>'Operating Summary (Quarterly)'!D15</f>
        <v>269.60000000000002</v>
      </c>
      <c r="E45" s="14">
        <f>'Operating Summary (Quarterly)'!E15</f>
        <v>231.2</v>
      </c>
      <c r="F45" s="14">
        <f>'Operating Summary (Quarterly)'!F15</f>
        <v>243.50000000000009</v>
      </c>
      <c r="G45" s="14">
        <f>'Operating Summary (Quarterly)'!G15</f>
        <v>239.70000000000005</v>
      </c>
      <c r="H45" s="14">
        <f>'Operating Summary (Quarterly)'!H15</f>
        <v>210.59999999999997</v>
      </c>
      <c r="I45" s="14">
        <f>'Operating Summary (Quarterly)'!I15</f>
        <v>196.1</v>
      </c>
      <c r="J45" s="14">
        <f>'Operating Summary (Quarterly)'!J15</f>
        <v>221.49999999999991</v>
      </c>
      <c r="K45" s="14">
        <f>'Operating Summary (Quarterly)'!K15</f>
        <v>238.90000000000003</v>
      </c>
      <c r="L45" s="14">
        <f>'Operating Summary (Quarterly)'!L15</f>
        <v>202.6</v>
      </c>
      <c r="M45" s="14">
        <f>'Operating Summary (Quarterly)'!M15</f>
        <v>178.7000000000001</v>
      </c>
      <c r="N45" s="14">
        <f>'Operating Summary (Quarterly)'!N15</f>
        <v>213.49999999999991</v>
      </c>
      <c r="O45" s="14">
        <f>'Operating Summary (Quarterly)'!O15</f>
        <v>204.60000000000008</v>
      </c>
      <c r="P45" s="14">
        <f>'Operating Summary (Quarterly)'!P15</f>
        <v>194.09999999999994</v>
      </c>
      <c r="Q45" s="14">
        <f>'Operating Summary (Quarterly)'!Q15</f>
        <v>168.79999999999998</v>
      </c>
    </row>
    <row r="46" spans="1:17" x14ac:dyDescent="0.25">
      <c r="A46" s="3" t="s">
        <v>211</v>
      </c>
      <c r="B46" s="20">
        <f>(B45*4)/B41</f>
        <v>0.36011641148930795</v>
      </c>
      <c r="C46" s="20">
        <f t="shared" ref="C46:Q46" si="10">(C45*4)/C41</f>
        <v>0.36127976845880383</v>
      </c>
      <c r="D46" s="20">
        <f t="shared" si="10"/>
        <v>0.34322087842138765</v>
      </c>
      <c r="E46" s="20">
        <f t="shared" si="10"/>
        <v>0.30399053316678715</v>
      </c>
      <c r="F46" s="20">
        <f t="shared" si="10"/>
        <v>0.32853239788174193</v>
      </c>
      <c r="G46" s="20">
        <f t="shared" si="10"/>
        <v>0.33282421549569569</v>
      </c>
      <c r="H46" s="20">
        <f t="shared" si="10"/>
        <v>0.30229303477231123</v>
      </c>
      <c r="I46" s="20">
        <f t="shared" si="10"/>
        <v>0.28698960924923161</v>
      </c>
      <c r="J46" s="20">
        <f t="shared" si="10"/>
        <v>0.30704186304408088</v>
      </c>
      <c r="K46" s="20">
        <f t="shared" si="10"/>
        <v>0.34337046352856637</v>
      </c>
      <c r="L46" s="20">
        <f t="shared" si="10"/>
        <v>0.3050515696755251</v>
      </c>
      <c r="M46" s="20">
        <f t="shared" si="10"/>
        <v>0.26815726290516223</v>
      </c>
      <c r="N46" s="20">
        <f t="shared" si="10"/>
        <v>0.33027806783462882</v>
      </c>
      <c r="O46" s="20">
        <f t="shared" si="10"/>
        <v>0.3268762231896794</v>
      </c>
      <c r="P46" s="20">
        <f t="shared" si="10"/>
        <v>0.32387785750041709</v>
      </c>
      <c r="Q46" s="20">
        <f t="shared" si="10"/>
        <v>0.29322100143310026</v>
      </c>
    </row>
    <row r="47" spans="1:17" x14ac:dyDescent="0.25">
      <c r="A47" s="3" t="s">
        <v>212</v>
      </c>
      <c r="B47" s="20">
        <f>(B45*4)/B43</f>
        <v>0.30633442764113888</v>
      </c>
      <c r="C47" s="20">
        <f t="shared" ref="C47:Q47" si="11">(C45*4)/C43</f>
        <v>0.31175177131688242</v>
      </c>
      <c r="D47" s="20">
        <f t="shared" si="11"/>
        <v>0.30749928714000574</v>
      </c>
      <c r="E47" s="20">
        <f t="shared" si="11"/>
        <v>0.26944816735621463</v>
      </c>
      <c r="F47" s="20">
        <f t="shared" si="11"/>
        <v>0.29251884554164048</v>
      </c>
      <c r="G47" s="20">
        <f t="shared" si="11"/>
        <v>0.291801083449997</v>
      </c>
      <c r="H47" s="20">
        <f t="shared" si="11"/>
        <v>0.26393458031769895</v>
      </c>
      <c r="I47" s="20">
        <f t="shared" si="11"/>
        <v>0.24995220189917786</v>
      </c>
      <c r="J47" s="20">
        <f t="shared" si="11"/>
        <v>0.26925180818087879</v>
      </c>
      <c r="K47" s="20">
        <f t="shared" si="11"/>
        <v>0.29974905897114185</v>
      </c>
      <c r="L47" s="20">
        <f t="shared" si="11"/>
        <v>0.26044478724771819</v>
      </c>
      <c r="M47" s="20">
        <f t="shared" si="11"/>
        <v>0.23742775526473142</v>
      </c>
      <c r="N47" s="20">
        <f t="shared" si="11"/>
        <v>0.28178308641567945</v>
      </c>
      <c r="O47" s="20">
        <f t="shared" si="11"/>
        <v>0.2724639611146254</v>
      </c>
      <c r="P47" s="20">
        <f t="shared" si="11"/>
        <v>0.26900422701129506</v>
      </c>
      <c r="Q47" s="20">
        <f t="shared" si="11"/>
        <v>0.24091055054055016</v>
      </c>
    </row>
    <row r="48" spans="1:17" x14ac:dyDescent="0.25">
      <c r="B48" s="10"/>
      <c r="C48" s="10"/>
      <c r="D48" s="10"/>
      <c r="E48" s="10"/>
      <c r="F48" s="10"/>
      <c r="G48" s="10"/>
      <c r="H48" s="10"/>
      <c r="I48" s="10"/>
      <c r="J48" s="10"/>
      <c r="L48" s="10"/>
      <c r="M48" s="10"/>
      <c r="N48" s="10"/>
      <c r="O48" s="10"/>
      <c r="P48" s="10"/>
      <c r="Q48" s="10"/>
    </row>
    <row r="49" spans="1:17" x14ac:dyDescent="0.25">
      <c r="A49" s="3" t="s">
        <v>213</v>
      </c>
      <c r="B49" s="14">
        <f>('Operating Summary (Quarterly)'!B6*4)/AVERAGE(B8:C8)</f>
        <v>2.3351778183232135</v>
      </c>
      <c r="C49" s="14">
        <f>('Operating Summary (Quarterly)'!C6*4)/AVERAGE(C8:D8)</f>
        <v>2.329454990814452</v>
      </c>
      <c r="D49" s="14">
        <f>('Operating Summary (Quarterly)'!D6*4)/AVERAGE(D8:E8)</f>
        <v>2.3320957623863783</v>
      </c>
      <c r="E49" s="14">
        <f>('Operating Summary (Quarterly)'!E6*4)/AVERAGE(E8:F8)</f>
        <v>2.2399562348275039</v>
      </c>
      <c r="F49" s="14">
        <f>('Operating Summary (Quarterly)'!F6*4)/AVERAGE(F8:G8)</f>
        <v>2.4448515939904727</v>
      </c>
      <c r="G49" s="14">
        <f>('Operating Summary (Quarterly)'!G6*4)/AVERAGE(G8:H8)</f>
        <v>2.451769709858727</v>
      </c>
      <c r="H49" s="14">
        <f>('Operating Summary (Quarterly)'!H6*4)/AVERAGE(H8:I8)</f>
        <v>2.3417587407295293</v>
      </c>
      <c r="I49" s="14">
        <f>('Operating Summary (Quarterly)'!I6*4)/AVERAGE(I8:J8)</f>
        <v>2.206484832655498</v>
      </c>
      <c r="J49" s="14">
        <f>('Operating Summary (Quarterly)'!J6*4)/AVERAGE(J8:K8)</f>
        <v>2.2526875842717105</v>
      </c>
      <c r="K49" s="14">
        <f>('Operating Summary (Quarterly)'!K6*4)/AVERAGE(K8:L8)</f>
        <v>2.4387331634510376</v>
      </c>
      <c r="L49" s="14">
        <f>('Operating Summary (Quarterly)'!L6*4)/AVERAGE(L8:M8)</f>
        <v>2.1540617279398209</v>
      </c>
      <c r="M49" s="14">
        <f>('Operating Summary (Quarterly)'!M6*4)/AVERAGE(M8:N8)</f>
        <v>1.9947815221785306</v>
      </c>
      <c r="N49" s="14">
        <f>('Operating Summary (Quarterly)'!N6*4)/AVERAGE(N8:O8)</f>
        <v>2.1567175233298768</v>
      </c>
      <c r="O49" s="14">
        <f>('Operating Summary (Quarterly)'!O6*4)/AVERAGE(O8:P8)</f>
        <v>2.2039702985300802</v>
      </c>
      <c r="P49" s="14">
        <f>('Operating Summary (Quarterly)'!P6*4)/AVERAGE(P8:Q8)</f>
        <v>2.128896835885874</v>
      </c>
      <c r="Q49" s="14">
        <f>('Operating Summary (Quarterly)'!Q6*4)/AVERAGE(Q8:R8)</f>
        <v>2.0139203878939544</v>
      </c>
    </row>
    <row r="50" spans="1:17" x14ac:dyDescent="0.25">
      <c r="B50" s="10"/>
      <c r="C50" s="10"/>
      <c r="D50" s="10"/>
      <c r="E50" s="10"/>
      <c r="F50" s="10"/>
      <c r="G50" s="10"/>
      <c r="H50" s="10"/>
      <c r="I50" s="10"/>
      <c r="J50" s="10"/>
      <c r="L50" s="10"/>
      <c r="M50" s="10"/>
      <c r="N50" s="10"/>
      <c r="O50" s="10"/>
      <c r="P50" s="10"/>
      <c r="Q50" s="10"/>
    </row>
    <row r="51" spans="1:17" x14ac:dyDescent="0.25">
      <c r="A51" s="3" t="s">
        <v>222</v>
      </c>
      <c r="B51" s="14">
        <f>B7+B8-B20</f>
        <v>2511.5</v>
      </c>
      <c r="C51" s="14">
        <f t="shared" ref="C51:Q51" si="12">C7+C8-C20</f>
        <v>2477.3000000000002</v>
      </c>
      <c r="D51" s="14">
        <f t="shared" si="12"/>
        <v>2382.4999999999995</v>
      </c>
      <c r="E51" s="14">
        <f t="shared" si="12"/>
        <v>2190.7000000000003</v>
      </c>
      <c r="F51" s="14">
        <f t="shared" si="12"/>
        <v>2093.6</v>
      </c>
      <c r="G51" s="14">
        <f t="shared" si="12"/>
        <v>2000.7000000000003</v>
      </c>
      <c r="H51" s="14">
        <f t="shared" si="12"/>
        <v>1941.2000000000003</v>
      </c>
      <c r="I51" s="14">
        <f t="shared" si="12"/>
        <v>1899.9</v>
      </c>
      <c r="J51" s="14">
        <f t="shared" si="12"/>
        <v>1966.6999999999998</v>
      </c>
      <c r="K51" s="14">
        <f t="shared" si="12"/>
        <v>2088.9</v>
      </c>
      <c r="L51" s="14">
        <f t="shared" si="12"/>
        <v>1967.3000000000002</v>
      </c>
      <c r="M51" s="14">
        <f t="shared" si="12"/>
        <v>1915.3999999999999</v>
      </c>
      <c r="N51" s="14">
        <f t="shared" si="12"/>
        <v>1956.8</v>
      </c>
      <c r="O51" s="14">
        <f t="shared" si="12"/>
        <v>1961.7</v>
      </c>
      <c r="P51" s="14">
        <f t="shared" si="12"/>
        <v>1903</v>
      </c>
      <c r="Q51" s="14">
        <f t="shared" si="12"/>
        <v>1799.4</v>
      </c>
    </row>
    <row r="52" spans="1:17" x14ac:dyDescent="0.25">
      <c r="A52" s="23" t="s">
        <v>196</v>
      </c>
      <c r="B52" s="71">
        <f>(B51/C51)-1</f>
        <v>1.3805352601622634E-2</v>
      </c>
      <c r="C52" s="71">
        <f t="shared" ref="C52:O52" si="13">(C51/D51)-1</f>
        <v>3.9790136411332888E-2</v>
      </c>
      <c r="D52" s="71">
        <f t="shared" si="13"/>
        <v>8.7551924042543083E-2</v>
      </c>
      <c r="E52" s="71">
        <f t="shared" si="13"/>
        <v>4.6379442109285574E-2</v>
      </c>
      <c r="F52" s="71">
        <f t="shared" si="13"/>
        <v>4.6433748188134061E-2</v>
      </c>
      <c r="G52" s="71">
        <f t="shared" si="13"/>
        <v>3.0651143622501431E-2</v>
      </c>
      <c r="H52" s="71">
        <f t="shared" si="13"/>
        <v>2.1737986209800608E-2</v>
      </c>
      <c r="I52" s="71">
        <f t="shared" si="13"/>
        <v>-3.3965526008033597E-2</v>
      </c>
      <c r="J52" s="71">
        <f t="shared" si="13"/>
        <v>-5.849968883144252E-2</v>
      </c>
      <c r="K52" s="71">
        <f t="shared" si="13"/>
        <v>6.1810603365018091E-2</v>
      </c>
      <c r="L52" s="71">
        <f t="shared" si="13"/>
        <v>2.70961679022661E-2</v>
      </c>
      <c r="M52" s="71">
        <f t="shared" si="13"/>
        <v>-2.1156991005723658E-2</v>
      </c>
      <c r="N52" s="71">
        <f t="shared" si="13"/>
        <v>-2.4978335117500361E-3</v>
      </c>
      <c r="O52" s="71">
        <f t="shared" si="13"/>
        <v>3.084603258013674E-2</v>
      </c>
      <c r="P52" s="71">
        <f>(P51/Q51)-1</f>
        <v>5.7574747137934867E-2</v>
      </c>
      <c r="Q52" s="10"/>
    </row>
    <row r="53" spans="1:17" x14ac:dyDescent="0.25">
      <c r="B53" s="10"/>
      <c r="C53" s="10"/>
      <c r="D53" s="10"/>
      <c r="E53" s="10"/>
      <c r="F53" s="10"/>
      <c r="G53" s="10"/>
      <c r="H53" s="10"/>
      <c r="I53" s="10"/>
      <c r="J53" s="10"/>
      <c r="L53" s="10"/>
      <c r="M53" s="10"/>
      <c r="N53" s="10"/>
      <c r="O53" s="10"/>
      <c r="P53" s="10"/>
      <c r="Q53" s="10"/>
    </row>
    <row r="54" spans="1:17" x14ac:dyDescent="0.25">
      <c r="A54" s="3" t="s">
        <v>232</v>
      </c>
      <c r="B54" s="20">
        <f>B51/B16</f>
        <v>0.5427453861779834</v>
      </c>
      <c r="C54" s="20">
        <f t="shared" ref="C54:Q54" si="14">C51/C16</f>
        <v>0.5394464647344468</v>
      </c>
      <c r="D54" s="20">
        <f t="shared" si="14"/>
        <v>0.53339154185416515</v>
      </c>
      <c r="E54" s="20">
        <f t="shared" si="14"/>
        <v>0.50958362409862767</v>
      </c>
      <c r="F54" s="20">
        <f t="shared" si="14"/>
        <v>0.49582001184132618</v>
      </c>
      <c r="G54" s="20">
        <f t="shared" si="14"/>
        <v>0.48017568281092499</v>
      </c>
      <c r="H54" s="20">
        <f t="shared" si="14"/>
        <v>0.47643824857647765</v>
      </c>
      <c r="I54" s="20">
        <f t="shared" si="14"/>
        <v>0.47920397508008172</v>
      </c>
      <c r="J54" s="20">
        <f t="shared" si="14"/>
        <v>0.47867886871440396</v>
      </c>
      <c r="K54" s="20">
        <f t="shared" si="14"/>
        <v>0.51133359443846083</v>
      </c>
      <c r="L54" s="20">
        <f t="shared" si="14"/>
        <v>0.49998729255089336</v>
      </c>
      <c r="M54" s="20">
        <f t="shared" si="14"/>
        <v>0.50406589647095978</v>
      </c>
      <c r="N54" s="20">
        <f t="shared" si="14"/>
        <v>0.51303025536154367</v>
      </c>
      <c r="O54" s="20">
        <f>O51/O16</f>
        <v>0.52222872963475664</v>
      </c>
      <c r="P54" s="20">
        <f t="shared" si="14"/>
        <v>0.52111287584205046</v>
      </c>
      <c r="Q54" s="20">
        <f t="shared" si="14"/>
        <v>0.54174318831853085</v>
      </c>
    </row>
    <row r="55" spans="1:17" x14ac:dyDescent="0.25">
      <c r="H55" s="10"/>
      <c r="I55" s="10"/>
      <c r="J55" s="10"/>
      <c r="L55" s="10"/>
      <c r="M55" s="10"/>
      <c r="N55" s="10"/>
      <c r="O55" s="10"/>
      <c r="P55" s="10"/>
      <c r="Q55" s="10"/>
    </row>
    <row r="56" spans="1:17" x14ac:dyDescent="0.25">
      <c r="H56" s="10"/>
      <c r="I56" s="10"/>
      <c r="J56" s="10"/>
      <c r="L56" s="10"/>
      <c r="M56" s="10"/>
      <c r="N56" s="10"/>
      <c r="O56" s="10"/>
      <c r="P56" s="10"/>
      <c r="Q56" s="10"/>
    </row>
    <row r="57" spans="1:17" x14ac:dyDescent="0.25">
      <c r="H57" s="10"/>
      <c r="I57" s="10"/>
      <c r="J57" s="10"/>
      <c r="L57" s="10"/>
      <c r="M57" s="10"/>
      <c r="N57" s="10"/>
      <c r="O57" s="10"/>
      <c r="P57" s="10"/>
      <c r="Q57" s="10"/>
    </row>
    <row r="58" spans="1:17" x14ac:dyDescent="0.25">
      <c r="H58" s="10"/>
      <c r="I58" s="10"/>
      <c r="J58" s="10"/>
      <c r="L58" s="10"/>
      <c r="M58" s="10"/>
      <c r="N58" s="10"/>
      <c r="O58" s="10"/>
      <c r="P58" s="10"/>
      <c r="Q58" s="10"/>
    </row>
    <row r="59" spans="1:17" x14ac:dyDescent="0.25">
      <c r="H59" s="10"/>
      <c r="I59" s="10"/>
      <c r="J59" s="10"/>
      <c r="L59" s="10"/>
      <c r="M59" s="10"/>
      <c r="N59" s="10"/>
      <c r="O59" s="10"/>
      <c r="P59" s="10"/>
      <c r="Q59" s="10"/>
    </row>
    <row r="60" spans="1:17" x14ac:dyDescent="0.25">
      <c r="H60" s="10"/>
      <c r="I60" s="10"/>
      <c r="J60" s="10"/>
      <c r="L60" s="10"/>
      <c r="M60" s="10"/>
      <c r="N60" s="10"/>
      <c r="O60" s="10"/>
      <c r="P60" s="10"/>
      <c r="Q60" s="10"/>
    </row>
    <row r="61" spans="1:17" x14ac:dyDescent="0.25">
      <c r="H61" s="10"/>
      <c r="I61" s="10"/>
      <c r="J61" s="10"/>
      <c r="L61" s="10"/>
      <c r="M61" s="10"/>
      <c r="N61" s="10"/>
      <c r="O61" s="10"/>
      <c r="P61" s="10"/>
      <c r="Q61" s="10"/>
    </row>
    <row r="62" spans="1:17" x14ac:dyDescent="0.25">
      <c r="H62" s="10"/>
      <c r="I62" s="10"/>
      <c r="J62" s="10"/>
      <c r="L62" s="10"/>
      <c r="M62" s="10"/>
      <c r="N62" s="10"/>
      <c r="O62" s="10"/>
      <c r="P62" s="10"/>
      <c r="Q62" s="10"/>
    </row>
    <row r="63" spans="1:17" x14ac:dyDescent="0.25">
      <c r="H63" s="10"/>
      <c r="I63" s="10"/>
      <c r="J63" s="10"/>
      <c r="L63" s="10"/>
      <c r="M63" s="10"/>
      <c r="N63" s="10"/>
      <c r="O63" s="10"/>
      <c r="P63" s="10"/>
      <c r="Q63" s="10"/>
    </row>
    <row r="64" spans="1:17" x14ac:dyDescent="0.25">
      <c r="H64" s="10"/>
      <c r="I64" s="10"/>
      <c r="J64" s="10"/>
      <c r="L64" s="10"/>
      <c r="M64" s="10"/>
      <c r="N64" s="10"/>
      <c r="O64" s="10"/>
      <c r="P64" s="10"/>
      <c r="Q64" s="10"/>
    </row>
    <row r="65" spans="8:17" x14ac:dyDescent="0.25">
      <c r="H65" s="10"/>
      <c r="I65" s="10"/>
      <c r="J65" s="10"/>
      <c r="L65" s="10"/>
      <c r="M65" s="10"/>
      <c r="N65" s="10"/>
      <c r="O65" s="10"/>
      <c r="P65" s="10"/>
      <c r="Q65" s="10"/>
    </row>
    <row r="66" spans="8:17" x14ac:dyDescent="0.25">
      <c r="H66" s="10"/>
      <c r="I66" s="10"/>
      <c r="J66" s="10"/>
      <c r="L66" s="10"/>
      <c r="M66" s="10"/>
      <c r="N66" s="10"/>
      <c r="O66" s="10"/>
      <c r="P66" s="10"/>
      <c r="Q66" s="10"/>
    </row>
    <row r="67" spans="8:17" x14ac:dyDescent="0.25">
      <c r="H67" s="10"/>
      <c r="I67" s="10"/>
      <c r="J67" s="10"/>
      <c r="L67" s="10"/>
      <c r="M67" s="10"/>
      <c r="N67" s="10"/>
      <c r="O67" s="10"/>
      <c r="P67" s="10"/>
      <c r="Q67" s="10"/>
    </row>
    <row r="68" spans="8:17" x14ac:dyDescent="0.25">
      <c r="H68" s="10"/>
      <c r="I68" s="10"/>
      <c r="J68" s="10"/>
      <c r="L68" s="10"/>
      <c r="M68" s="10"/>
      <c r="N68" s="10"/>
      <c r="O68" s="10"/>
      <c r="P68" s="10"/>
      <c r="Q68" s="10"/>
    </row>
  </sheetData>
  <pageMargins left="0.7" right="0.7" top="0.75" bottom="0.75" header="0.3" footer="0.3"/>
  <pageSetup orientation="portrait" r:id="rId1"/>
  <ignoredErrors>
    <ignoredError sqref="B49:Q49"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B792B-812D-FC48-ABFF-E9D0AFBA3ED8}">
  <sheetPr>
    <tabColor rgb="FFFFC000"/>
    <pageSetUpPr fitToPage="1"/>
  </sheetPr>
  <dimension ref="A1:T45"/>
  <sheetViews>
    <sheetView workbookViewId="0">
      <pane ySplit="4" topLeftCell="A5" activePane="bottomLeft" state="frozen"/>
      <selection pane="bottomLeft" sqref="A1:B1"/>
    </sheetView>
  </sheetViews>
  <sheetFormatPr baseColWidth="10" defaultColWidth="9.1640625" defaultRowHeight="19" x14ac:dyDescent="0.25"/>
  <cols>
    <col min="1" max="1" width="47" style="3" customWidth="1"/>
    <col min="2" max="2" width="11.5" style="3" customWidth="1"/>
    <col min="3" max="9" width="9.83203125" style="3" customWidth="1"/>
    <col min="10" max="10" width="9.83203125" style="9" customWidth="1"/>
    <col min="11" max="16" width="9.83203125" style="3" customWidth="1"/>
    <col min="17" max="17" width="10.1640625" style="3" bestFit="1" customWidth="1"/>
    <col min="18" max="20" width="9.6640625" style="3" bestFit="1" customWidth="1"/>
    <col min="21" max="16384" width="9.1640625" style="3"/>
  </cols>
  <sheetData>
    <row r="1" spans="1:20" ht="24" x14ac:dyDescent="0.3">
      <c r="A1" s="142" t="s">
        <v>205</v>
      </c>
      <c r="B1" s="142"/>
      <c r="C1" s="33"/>
      <c r="D1" s="33"/>
      <c r="E1" s="33"/>
      <c r="F1" s="33"/>
      <c r="G1" s="8"/>
      <c r="H1" s="8"/>
      <c r="I1" s="8"/>
    </row>
    <row r="2" spans="1:20" x14ac:dyDescent="0.25">
      <c r="A2" s="4" t="s">
        <v>208</v>
      </c>
      <c r="B2" s="4"/>
      <c r="C2" s="4"/>
      <c r="D2" s="4"/>
      <c r="E2" s="4"/>
      <c r="F2" s="4"/>
      <c r="G2" s="4"/>
      <c r="H2" s="17"/>
      <c r="I2" s="17"/>
    </row>
    <row r="3" spans="1:20" x14ac:dyDescent="0.25">
      <c r="A3" s="41"/>
      <c r="B3" s="143" t="s">
        <v>206</v>
      </c>
      <c r="C3" s="143"/>
      <c r="D3" s="143"/>
      <c r="E3" s="143"/>
      <c r="F3" s="143"/>
      <c r="G3" s="143"/>
      <c r="H3" s="143"/>
      <c r="I3" s="143"/>
      <c r="J3" s="143"/>
      <c r="K3" s="143"/>
      <c r="L3" s="143"/>
      <c r="M3" s="143"/>
      <c r="N3" s="143"/>
      <c r="O3" s="143"/>
      <c r="P3" s="143"/>
      <c r="Q3" s="143"/>
      <c r="R3" s="143"/>
      <c r="S3" s="143"/>
      <c r="T3" s="143"/>
    </row>
    <row r="4" spans="1:20" s="8" customFormat="1" x14ac:dyDescent="0.25">
      <c r="A4" s="42" t="s">
        <v>7</v>
      </c>
      <c r="B4" s="44">
        <v>44834</v>
      </c>
      <c r="C4" s="44">
        <v>44742</v>
      </c>
      <c r="D4" s="44">
        <v>44651</v>
      </c>
      <c r="E4" s="44">
        <v>44561</v>
      </c>
      <c r="F4" s="44">
        <v>44469</v>
      </c>
      <c r="G4" s="44">
        <v>44377</v>
      </c>
      <c r="H4" s="44">
        <v>44286</v>
      </c>
      <c r="I4" s="44">
        <v>44196</v>
      </c>
      <c r="J4" s="44">
        <v>44104</v>
      </c>
      <c r="K4" s="44">
        <v>44012</v>
      </c>
      <c r="L4" s="44">
        <v>43921</v>
      </c>
      <c r="M4" s="75">
        <v>43830</v>
      </c>
      <c r="N4" s="44">
        <v>43738</v>
      </c>
      <c r="O4" s="44">
        <v>43646</v>
      </c>
      <c r="P4" s="44">
        <v>43555</v>
      </c>
      <c r="Q4" s="44">
        <v>43465</v>
      </c>
      <c r="R4" s="44">
        <v>43373</v>
      </c>
      <c r="S4" s="44">
        <v>43281</v>
      </c>
      <c r="T4" s="44">
        <v>43190</v>
      </c>
    </row>
    <row r="5" spans="1:20" x14ac:dyDescent="0.25">
      <c r="A5" s="8" t="s">
        <v>16</v>
      </c>
      <c r="B5" s="15">
        <v>1802.4</v>
      </c>
      <c r="C5" s="15">
        <v>1778.6</v>
      </c>
      <c r="D5" s="15">
        <v>1704.1</v>
      </c>
      <c r="E5" s="15">
        <v>1531.8</v>
      </c>
      <c r="F5" s="15">
        <v>1554.2</v>
      </c>
      <c r="G5" s="15">
        <v>1507.7</v>
      </c>
      <c r="H5" s="15">
        <v>1417</v>
      </c>
      <c r="I5" s="15">
        <v>1358</v>
      </c>
      <c r="J5" s="43">
        <v>1413.3</v>
      </c>
      <c r="K5" s="43">
        <v>1509</v>
      </c>
      <c r="L5" s="43">
        <v>1367</v>
      </c>
      <c r="M5" s="43">
        <v>1276.9000000000001</v>
      </c>
      <c r="N5" s="43">
        <v>1379.1</v>
      </c>
      <c r="O5" s="15">
        <v>1368.4</v>
      </c>
      <c r="P5" s="15">
        <v>1309.3</v>
      </c>
      <c r="Q5" s="15">
        <v>1231.5999999999999</v>
      </c>
      <c r="R5" s="15">
        <v>1279.8</v>
      </c>
      <c r="S5" s="15">
        <v>1267.9000000000001</v>
      </c>
      <c r="T5" s="15">
        <v>1185.8</v>
      </c>
    </row>
    <row r="6" spans="1:20" x14ac:dyDescent="0.25">
      <c r="A6" s="3" t="s">
        <v>17</v>
      </c>
      <c r="B6" s="14">
        <v>975.9</v>
      </c>
      <c r="C6" s="14">
        <v>951</v>
      </c>
      <c r="D6" s="14">
        <v>910.8</v>
      </c>
      <c r="E6" s="14">
        <v>818.9</v>
      </c>
      <c r="F6" s="14">
        <v>834</v>
      </c>
      <c r="G6" s="14">
        <v>807</v>
      </c>
      <c r="H6" s="14">
        <v>773.6</v>
      </c>
      <c r="I6" s="14">
        <v>739.2</v>
      </c>
      <c r="J6" s="36">
        <v>772.7</v>
      </c>
      <c r="K6" s="36">
        <v>837.4</v>
      </c>
      <c r="L6" s="36">
        <v>730.2</v>
      </c>
      <c r="M6" s="36">
        <v>678.5</v>
      </c>
      <c r="N6" s="36">
        <v>728</v>
      </c>
      <c r="O6" s="14">
        <v>727.2</v>
      </c>
      <c r="P6" s="14">
        <v>684.6</v>
      </c>
      <c r="Q6" s="14">
        <v>643.79999999999995</v>
      </c>
      <c r="R6" s="14">
        <v>664</v>
      </c>
      <c r="S6" s="14">
        <v>650.20000000000005</v>
      </c>
      <c r="T6" s="14">
        <v>608.20000000000005</v>
      </c>
    </row>
    <row r="7" spans="1:20" x14ac:dyDescent="0.25">
      <c r="A7" s="3" t="s">
        <v>18</v>
      </c>
      <c r="B7" s="37">
        <f t="shared" ref="B7:P7" si="0">B5-B6</f>
        <v>826.50000000000011</v>
      </c>
      <c r="C7" s="37">
        <f t="shared" si="0"/>
        <v>827.59999999999991</v>
      </c>
      <c r="D7" s="37">
        <f t="shared" si="0"/>
        <v>793.3</v>
      </c>
      <c r="E7" s="37">
        <f t="shared" si="0"/>
        <v>712.9</v>
      </c>
      <c r="F7" s="37">
        <f t="shared" si="0"/>
        <v>720.2</v>
      </c>
      <c r="G7" s="37">
        <f t="shared" si="0"/>
        <v>700.7</v>
      </c>
      <c r="H7" s="37">
        <f t="shared" si="0"/>
        <v>643.4</v>
      </c>
      <c r="I7" s="37">
        <f t="shared" si="0"/>
        <v>618.79999999999995</v>
      </c>
      <c r="J7" s="37">
        <f t="shared" si="0"/>
        <v>640.59999999999991</v>
      </c>
      <c r="K7" s="37">
        <f t="shared" si="0"/>
        <v>671.6</v>
      </c>
      <c r="L7" s="37">
        <f t="shared" si="0"/>
        <v>636.79999999999995</v>
      </c>
      <c r="M7" s="37">
        <f t="shared" si="0"/>
        <v>598.40000000000009</v>
      </c>
      <c r="N7" s="37">
        <f t="shared" si="0"/>
        <v>651.09999999999991</v>
      </c>
      <c r="O7" s="37">
        <f t="shared" si="0"/>
        <v>641.20000000000005</v>
      </c>
      <c r="P7" s="37">
        <f t="shared" si="0"/>
        <v>624.69999999999993</v>
      </c>
      <c r="Q7" s="37">
        <f t="shared" ref="Q7:T7" si="1">Q5-Q6</f>
        <v>587.79999999999995</v>
      </c>
      <c r="R7" s="37">
        <f t="shared" si="1"/>
        <v>615.79999999999995</v>
      </c>
      <c r="S7" s="37">
        <f t="shared" si="1"/>
        <v>617.70000000000005</v>
      </c>
      <c r="T7" s="37">
        <f t="shared" si="1"/>
        <v>577.59999999999991</v>
      </c>
    </row>
    <row r="8" spans="1:20" x14ac:dyDescent="0.25">
      <c r="A8" s="3" t="s">
        <v>51</v>
      </c>
      <c r="B8" s="14">
        <v>447.3</v>
      </c>
      <c r="C8" s="14">
        <v>444.2</v>
      </c>
      <c r="D8" s="14">
        <v>435.3</v>
      </c>
      <c r="E8" s="14">
        <v>412</v>
      </c>
      <c r="F8" s="14">
        <v>401.8</v>
      </c>
      <c r="G8" s="14">
        <v>382.9</v>
      </c>
      <c r="H8" s="14">
        <v>363.1</v>
      </c>
      <c r="I8" s="14">
        <v>354.7</v>
      </c>
      <c r="J8" s="36">
        <v>351.5</v>
      </c>
      <c r="K8" s="36">
        <v>355.3</v>
      </c>
      <c r="L8" s="36">
        <v>365.9</v>
      </c>
      <c r="M8" s="36">
        <v>359.9</v>
      </c>
      <c r="N8" s="36">
        <v>369.2</v>
      </c>
      <c r="O8" s="14">
        <v>366.7</v>
      </c>
      <c r="P8" s="14">
        <v>363.6</v>
      </c>
      <c r="Q8" s="14">
        <v>354.4</v>
      </c>
      <c r="R8" s="14">
        <v>353.8</v>
      </c>
      <c r="S8" s="14">
        <v>349.3</v>
      </c>
      <c r="T8" s="14">
        <v>342.7</v>
      </c>
    </row>
    <row r="9" spans="1:20" x14ac:dyDescent="0.25">
      <c r="A9" s="3" t="s">
        <v>57</v>
      </c>
      <c r="B9" s="14">
        <v>0</v>
      </c>
      <c r="C9" s="14">
        <v>0</v>
      </c>
      <c r="D9" s="14">
        <v>0</v>
      </c>
      <c r="E9" s="14">
        <v>0</v>
      </c>
      <c r="F9" s="14">
        <v>0</v>
      </c>
      <c r="G9" s="14">
        <v>0</v>
      </c>
      <c r="H9" s="14">
        <v>0</v>
      </c>
      <c r="I9" s="14">
        <v>-0.3</v>
      </c>
      <c r="J9" s="36">
        <v>-1</v>
      </c>
      <c r="K9" s="36">
        <v>0.3</v>
      </c>
      <c r="L9" s="36">
        <v>-0.4</v>
      </c>
      <c r="M9" s="36">
        <v>-0.4</v>
      </c>
      <c r="N9" s="36">
        <v>0</v>
      </c>
      <c r="O9" s="14">
        <v>-0.5</v>
      </c>
      <c r="P9" s="14">
        <v>-0.3</v>
      </c>
      <c r="Q9" s="14">
        <v>0</v>
      </c>
      <c r="R9" s="14">
        <v>-0.3</v>
      </c>
      <c r="S9" s="14">
        <v>-0.6</v>
      </c>
      <c r="T9" s="14">
        <v>0.4</v>
      </c>
    </row>
    <row r="10" spans="1:20" x14ac:dyDescent="0.25">
      <c r="A10" s="3" t="s">
        <v>19</v>
      </c>
      <c r="B10" s="37">
        <f t="shared" ref="B10:P10" si="2">B7-B8-B9</f>
        <v>379.2000000000001</v>
      </c>
      <c r="C10" s="37">
        <f t="shared" si="2"/>
        <v>383.39999999999992</v>
      </c>
      <c r="D10" s="37">
        <f t="shared" si="2"/>
        <v>357.99999999999994</v>
      </c>
      <c r="E10" s="37">
        <f t="shared" si="2"/>
        <v>300.89999999999998</v>
      </c>
      <c r="F10" s="37">
        <f t="shared" si="2"/>
        <v>318.40000000000003</v>
      </c>
      <c r="G10" s="37">
        <f t="shared" si="2"/>
        <v>317.80000000000007</v>
      </c>
      <c r="H10" s="37">
        <f t="shared" si="2"/>
        <v>280.29999999999995</v>
      </c>
      <c r="I10" s="37">
        <f t="shared" si="2"/>
        <v>264.39999999999998</v>
      </c>
      <c r="J10" s="37">
        <f t="shared" si="2"/>
        <v>290.09999999999991</v>
      </c>
      <c r="K10" s="37">
        <f t="shared" si="2"/>
        <v>316</v>
      </c>
      <c r="L10" s="37">
        <f t="shared" si="2"/>
        <v>271.29999999999995</v>
      </c>
      <c r="M10" s="37">
        <f t="shared" si="2"/>
        <v>238.90000000000012</v>
      </c>
      <c r="N10" s="37">
        <f t="shared" si="2"/>
        <v>281.89999999999992</v>
      </c>
      <c r="O10" s="37">
        <f t="shared" si="2"/>
        <v>275.00000000000006</v>
      </c>
      <c r="P10" s="37">
        <f t="shared" si="2"/>
        <v>261.39999999999992</v>
      </c>
      <c r="Q10" s="37">
        <f t="shared" ref="Q10:T10" si="3">Q7-Q8-Q9</f>
        <v>233.39999999999998</v>
      </c>
      <c r="R10" s="37">
        <f t="shared" si="3"/>
        <v>262.29999999999995</v>
      </c>
      <c r="S10" s="37">
        <f t="shared" si="3"/>
        <v>269.00000000000006</v>
      </c>
      <c r="T10" s="37">
        <f t="shared" si="3"/>
        <v>234.49999999999991</v>
      </c>
    </row>
    <row r="11" spans="1:20" x14ac:dyDescent="0.25">
      <c r="A11" s="3" t="s">
        <v>52</v>
      </c>
      <c r="B11" s="14">
        <v>0.2</v>
      </c>
      <c r="C11" s="14">
        <v>0.1</v>
      </c>
      <c r="D11" s="14">
        <v>0.1</v>
      </c>
      <c r="E11" s="14">
        <v>0</v>
      </c>
      <c r="F11" s="14">
        <v>0.1</v>
      </c>
      <c r="G11" s="14">
        <v>0</v>
      </c>
      <c r="H11" s="14">
        <v>0</v>
      </c>
      <c r="I11" s="14">
        <v>0.3</v>
      </c>
      <c r="J11" s="36">
        <v>0.1</v>
      </c>
      <c r="K11" s="36">
        <v>0.1</v>
      </c>
      <c r="L11" s="36">
        <v>0.1</v>
      </c>
      <c r="M11" s="36">
        <v>0.1</v>
      </c>
      <c r="N11" s="36">
        <v>0.1</v>
      </c>
      <c r="O11" s="14">
        <v>0.1</v>
      </c>
      <c r="P11" s="14">
        <v>0.1</v>
      </c>
      <c r="Q11" s="14">
        <v>0.1</v>
      </c>
      <c r="R11" s="14">
        <v>0.1</v>
      </c>
      <c r="S11" s="14">
        <v>0.1</v>
      </c>
      <c r="T11" s="14">
        <v>0.1</v>
      </c>
    </row>
    <row r="12" spans="1:20" x14ac:dyDescent="0.25">
      <c r="A12" s="3" t="s">
        <v>6</v>
      </c>
      <c r="B12" s="14">
        <v>-4.0999999999999996</v>
      </c>
      <c r="C12" s="14">
        <v>-2.8</v>
      </c>
      <c r="D12" s="14">
        <v>-2.4</v>
      </c>
      <c r="E12" s="14">
        <v>-2.4</v>
      </c>
      <c r="F12" s="14">
        <v>-2.4</v>
      </c>
      <c r="G12" s="14">
        <v>-2.6</v>
      </c>
      <c r="H12" s="14">
        <v>-2.4</v>
      </c>
      <c r="I12" s="14">
        <v>-2.5</v>
      </c>
      <c r="J12" s="36">
        <v>-2.6</v>
      </c>
      <c r="K12" s="36">
        <v>-2.4</v>
      </c>
      <c r="L12" s="36">
        <v>-2.2000000000000002</v>
      </c>
      <c r="M12" s="36">
        <v>-2.6</v>
      </c>
      <c r="N12" s="36">
        <v>-3.6</v>
      </c>
      <c r="O12" s="14">
        <v>-3.7</v>
      </c>
      <c r="P12" s="14">
        <v>-4</v>
      </c>
      <c r="Q12" s="14">
        <v>-3.7</v>
      </c>
      <c r="R12" s="14">
        <v>-3</v>
      </c>
      <c r="S12" s="14">
        <v>-3.2</v>
      </c>
      <c r="T12" s="14">
        <v>-2.7</v>
      </c>
    </row>
    <row r="13" spans="1:20" x14ac:dyDescent="0.25">
      <c r="A13" s="3" t="s">
        <v>53</v>
      </c>
      <c r="B13" s="37">
        <f t="shared" ref="B13:P13" si="4">SUM(B10:B12)</f>
        <v>375.30000000000007</v>
      </c>
      <c r="C13" s="37">
        <f t="shared" si="4"/>
        <v>380.69999999999993</v>
      </c>
      <c r="D13" s="37">
        <f t="shared" si="4"/>
        <v>355.7</v>
      </c>
      <c r="E13" s="37">
        <f t="shared" si="4"/>
        <v>298.5</v>
      </c>
      <c r="F13" s="37">
        <f t="shared" si="4"/>
        <v>316.10000000000008</v>
      </c>
      <c r="G13" s="37">
        <f t="shared" si="4"/>
        <v>315.20000000000005</v>
      </c>
      <c r="H13" s="37">
        <f t="shared" si="4"/>
        <v>277.89999999999998</v>
      </c>
      <c r="I13" s="37">
        <f t="shared" si="4"/>
        <v>262.2</v>
      </c>
      <c r="J13" s="37">
        <f t="shared" si="4"/>
        <v>287.59999999999991</v>
      </c>
      <c r="K13" s="37">
        <f t="shared" si="4"/>
        <v>313.70000000000005</v>
      </c>
      <c r="L13" s="37">
        <f t="shared" si="4"/>
        <v>269.2</v>
      </c>
      <c r="M13" s="37">
        <f t="shared" si="4"/>
        <v>236.40000000000012</v>
      </c>
      <c r="N13" s="37">
        <f t="shared" si="4"/>
        <v>278.39999999999992</v>
      </c>
      <c r="O13" s="37">
        <f t="shared" si="4"/>
        <v>271.40000000000009</v>
      </c>
      <c r="P13" s="37">
        <f t="shared" si="4"/>
        <v>257.49999999999994</v>
      </c>
      <c r="Q13" s="37">
        <f t="shared" ref="Q13:T13" si="5">SUM(Q10:Q12)</f>
        <v>229.79999999999998</v>
      </c>
      <c r="R13" s="37">
        <f t="shared" si="5"/>
        <v>259.39999999999998</v>
      </c>
      <c r="S13" s="37">
        <f t="shared" si="5"/>
        <v>265.90000000000009</v>
      </c>
      <c r="T13" s="37">
        <f t="shared" si="5"/>
        <v>231.89999999999992</v>
      </c>
    </row>
    <row r="14" spans="1:20" x14ac:dyDescent="0.25">
      <c r="A14" s="3" t="s">
        <v>54</v>
      </c>
      <c r="B14" s="14">
        <v>90.7</v>
      </c>
      <c r="C14" s="14">
        <v>93.6</v>
      </c>
      <c r="D14" s="14">
        <v>86.1</v>
      </c>
      <c r="E14" s="14">
        <v>67.3</v>
      </c>
      <c r="F14" s="14">
        <v>72.599999999999994</v>
      </c>
      <c r="G14" s="14">
        <v>75.5</v>
      </c>
      <c r="H14" s="14">
        <v>67.3</v>
      </c>
      <c r="I14" s="14">
        <v>66.099999999999994</v>
      </c>
      <c r="J14" s="36">
        <v>66.099999999999994</v>
      </c>
      <c r="K14" s="36">
        <v>74.8</v>
      </c>
      <c r="L14" s="36">
        <v>66.599999999999994</v>
      </c>
      <c r="M14" s="36">
        <v>57.7</v>
      </c>
      <c r="N14" s="36">
        <v>64.900000000000006</v>
      </c>
      <c r="O14" s="14">
        <v>66.8</v>
      </c>
      <c r="P14" s="14">
        <v>63.4</v>
      </c>
      <c r="Q14" s="14">
        <v>61</v>
      </c>
      <c r="R14" s="14">
        <v>61.8</v>
      </c>
      <c r="S14" s="14">
        <v>54.7</v>
      </c>
      <c r="T14" s="14">
        <v>57.6</v>
      </c>
    </row>
    <row r="15" spans="1:20" ht="20" thickBot="1" x14ac:dyDescent="0.3">
      <c r="A15" s="8" t="s">
        <v>55</v>
      </c>
      <c r="B15" s="39">
        <f t="shared" ref="B15:P15" si="6">B13-B14</f>
        <v>284.60000000000008</v>
      </c>
      <c r="C15" s="39">
        <f t="shared" si="6"/>
        <v>287.09999999999991</v>
      </c>
      <c r="D15" s="39">
        <f t="shared" si="6"/>
        <v>269.60000000000002</v>
      </c>
      <c r="E15" s="39">
        <f t="shared" si="6"/>
        <v>231.2</v>
      </c>
      <c r="F15" s="39">
        <f t="shared" si="6"/>
        <v>243.50000000000009</v>
      </c>
      <c r="G15" s="39">
        <f t="shared" si="6"/>
        <v>239.70000000000005</v>
      </c>
      <c r="H15" s="39">
        <f t="shared" si="6"/>
        <v>210.59999999999997</v>
      </c>
      <c r="I15" s="39">
        <f t="shared" si="6"/>
        <v>196.1</v>
      </c>
      <c r="J15" s="39">
        <f t="shared" si="6"/>
        <v>221.49999999999991</v>
      </c>
      <c r="K15" s="39">
        <f t="shared" si="6"/>
        <v>238.90000000000003</v>
      </c>
      <c r="L15" s="39">
        <f t="shared" si="6"/>
        <v>202.6</v>
      </c>
      <c r="M15" s="39">
        <f t="shared" si="6"/>
        <v>178.7000000000001</v>
      </c>
      <c r="N15" s="39">
        <f t="shared" si="6"/>
        <v>213.49999999999991</v>
      </c>
      <c r="O15" s="39">
        <f t="shared" si="6"/>
        <v>204.60000000000008</v>
      </c>
      <c r="P15" s="39">
        <f t="shared" si="6"/>
        <v>194.09999999999994</v>
      </c>
      <c r="Q15" s="39">
        <f t="shared" ref="Q15:T15" si="7">Q13-Q14</f>
        <v>168.79999999999998</v>
      </c>
      <c r="R15" s="39">
        <f t="shared" si="7"/>
        <v>197.59999999999997</v>
      </c>
      <c r="S15" s="39">
        <f t="shared" si="7"/>
        <v>211.2000000000001</v>
      </c>
      <c r="T15" s="39">
        <f t="shared" si="7"/>
        <v>174.29999999999993</v>
      </c>
    </row>
    <row r="16" spans="1:20" ht="20" thickTop="1" x14ac:dyDescent="0.25">
      <c r="B16" s="10"/>
      <c r="C16" s="10"/>
      <c r="D16" s="10"/>
      <c r="E16" s="10"/>
      <c r="F16" s="10"/>
      <c r="G16" s="10"/>
      <c r="H16" s="10"/>
      <c r="I16" s="10"/>
      <c r="K16" s="9"/>
      <c r="L16" s="9"/>
      <c r="M16" s="9"/>
      <c r="N16" s="9"/>
      <c r="O16" s="10"/>
      <c r="P16" s="10"/>
      <c r="Q16" s="10"/>
      <c r="R16" s="10"/>
      <c r="S16" s="10"/>
      <c r="T16" s="10"/>
    </row>
    <row r="17" spans="1:20" x14ac:dyDescent="0.25">
      <c r="A17" s="3" t="s">
        <v>207</v>
      </c>
      <c r="B17" s="14">
        <v>574.70000000000005</v>
      </c>
      <c r="C17" s="14">
        <v>577.4</v>
      </c>
      <c r="D17" s="14">
        <v>577.6</v>
      </c>
      <c r="E17" s="14">
        <v>577.70000000000005</v>
      </c>
      <c r="F17" s="14">
        <v>577.29999999999995</v>
      </c>
      <c r="G17" s="14">
        <v>577</v>
      </c>
      <c r="H17" s="14">
        <v>576.5</v>
      </c>
      <c r="I17" s="14">
        <v>576.4</v>
      </c>
      <c r="J17" s="36">
        <v>576.1</v>
      </c>
      <c r="K17" s="36">
        <v>575</v>
      </c>
      <c r="L17" s="36">
        <v>575.29999999999995</v>
      </c>
      <c r="M17" s="36">
        <v>575.6</v>
      </c>
      <c r="N17" s="36">
        <v>574.4</v>
      </c>
      <c r="O17" s="14">
        <v>574.6</v>
      </c>
      <c r="P17" s="14">
        <v>573</v>
      </c>
      <c r="Q17" s="14">
        <v>572.6</v>
      </c>
      <c r="R17" s="14">
        <v>574.5</v>
      </c>
      <c r="S17" s="14">
        <v>574.5</v>
      </c>
      <c r="T17" s="14">
        <f>287.9*2</f>
        <v>575.79999999999995</v>
      </c>
    </row>
    <row r="18" spans="1:20" x14ac:dyDescent="0.25">
      <c r="A18" s="3" t="s">
        <v>56</v>
      </c>
      <c r="B18" s="12">
        <f t="shared" ref="B18:P18" si="8">B15/B17</f>
        <v>0.4952148947276841</v>
      </c>
      <c r="C18" s="12">
        <f t="shared" si="8"/>
        <v>0.49722895739521983</v>
      </c>
      <c r="D18" s="12">
        <f t="shared" si="8"/>
        <v>0.46675900277008314</v>
      </c>
      <c r="E18" s="12">
        <f t="shared" si="8"/>
        <v>0.40020772027003632</v>
      </c>
      <c r="F18" s="12">
        <f t="shared" si="8"/>
        <v>0.42179109648363089</v>
      </c>
      <c r="G18" s="12">
        <f t="shared" si="8"/>
        <v>0.41542461005199316</v>
      </c>
      <c r="H18" s="12">
        <f t="shared" si="8"/>
        <v>0.36530789245446654</v>
      </c>
      <c r="I18" s="12">
        <f t="shared" si="8"/>
        <v>0.34021512838306733</v>
      </c>
      <c r="J18" s="12">
        <f t="shared" si="8"/>
        <v>0.38448186078805746</v>
      </c>
      <c r="K18" s="12">
        <f t="shared" si="8"/>
        <v>0.4154782608695653</v>
      </c>
      <c r="L18" s="12">
        <f t="shared" si="8"/>
        <v>0.35216408830175561</v>
      </c>
      <c r="M18" s="12">
        <f t="shared" si="8"/>
        <v>0.3104586518415568</v>
      </c>
      <c r="N18" s="12">
        <f t="shared" si="8"/>
        <v>0.37169220055710295</v>
      </c>
      <c r="O18" s="12">
        <f t="shared" si="8"/>
        <v>0.35607379046293086</v>
      </c>
      <c r="P18" s="12">
        <f t="shared" si="8"/>
        <v>0.33874345549738211</v>
      </c>
      <c r="Q18" s="12">
        <f t="shared" ref="Q18:T18" si="9">Q15/Q17</f>
        <v>0.29479566887879843</v>
      </c>
      <c r="R18" s="12">
        <f t="shared" si="9"/>
        <v>0.34395126196692771</v>
      </c>
      <c r="S18" s="12">
        <f t="shared" si="9"/>
        <v>0.36762402088772866</v>
      </c>
      <c r="T18" s="12">
        <f t="shared" si="9"/>
        <v>0.30270927405349068</v>
      </c>
    </row>
    <row r="19" spans="1:20" x14ac:dyDescent="0.25">
      <c r="B19" s="10"/>
      <c r="C19" s="10"/>
      <c r="D19" s="10"/>
      <c r="E19" s="10"/>
      <c r="F19" s="10"/>
      <c r="G19" s="10"/>
      <c r="H19" s="10"/>
      <c r="I19" s="10"/>
      <c r="K19" s="9"/>
      <c r="L19" s="9"/>
      <c r="M19" s="9"/>
      <c r="N19" s="9"/>
      <c r="O19" s="10"/>
      <c r="P19" s="12"/>
      <c r="Q19" s="12"/>
      <c r="R19" s="12"/>
      <c r="S19" s="12"/>
      <c r="T19" s="12"/>
    </row>
    <row r="20" spans="1:20" x14ac:dyDescent="0.25">
      <c r="A20" s="3" t="s">
        <v>20</v>
      </c>
      <c r="B20" s="20">
        <f t="shared" ref="B20:P20" si="10">B7/B5</f>
        <v>0.45855525965379496</v>
      </c>
      <c r="C20" s="20">
        <f t="shared" si="10"/>
        <v>0.46530979422017316</v>
      </c>
      <c r="D20" s="20">
        <f t="shared" si="10"/>
        <v>0.4655243236899243</v>
      </c>
      <c r="E20" s="20">
        <f t="shared" si="10"/>
        <v>0.46540018279148715</v>
      </c>
      <c r="F20" s="20">
        <f t="shared" si="10"/>
        <v>0.46338952515763737</v>
      </c>
      <c r="G20" s="20">
        <f t="shared" si="10"/>
        <v>0.46474762883862841</v>
      </c>
      <c r="H20" s="20">
        <f t="shared" si="10"/>
        <v>0.45405786873676779</v>
      </c>
      <c r="I20" s="20">
        <f t="shared" si="10"/>
        <v>0.4556701030927835</v>
      </c>
      <c r="J20" s="20">
        <f t="shared" si="10"/>
        <v>0.45326540720300001</v>
      </c>
      <c r="K20" s="20">
        <f t="shared" si="10"/>
        <v>0.44506295559973497</v>
      </c>
      <c r="L20" s="20">
        <f t="shared" si="10"/>
        <v>0.46583760058522311</v>
      </c>
      <c r="M20" s="20">
        <f t="shared" si="10"/>
        <v>0.4686349753308795</v>
      </c>
      <c r="N20" s="20">
        <f t="shared" si="10"/>
        <v>0.47211949822347904</v>
      </c>
      <c r="O20" s="20">
        <f t="shared" si="10"/>
        <v>0.46857643963753287</v>
      </c>
      <c r="P20" s="20">
        <f t="shared" si="10"/>
        <v>0.47712518139463833</v>
      </c>
      <c r="Q20" s="20">
        <f t="shared" ref="Q20:T20" si="11">Q7/Q5</f>
        <v>0.4772653458915232</v>
      </c>
      <c r="R20" s="20">
        <f t="shared" si="11"/>
        <v>0.48116893264572586</v>
      </c>
      <c r="S20" s="20">
        <f t="shared" si="11"/>
        <v>0.48718353182427637</v>
      </c>
      <c r="T20" s="20">
        <f t="shared" si="11"/>
        <v>0.48709731826614938</v>
      </c>
    </row>
    <row r="21" spans="1:20" x14ac:dyDescent="0.25">
      <c r="A21" s="3" t="s">
        <v>3</v>
      </c>
      <c r="B21" s="20">
        <f t="shared" ref="B21:P21" si="12">B10/B5</f>
        <v>0.21038615179760325</v>
      </c>
      <c r="C21" s="20">
        <f t="shared" si="12"/>
        <v>0.21556280220398064</v>
      </c>
      <c r="D21" s="20">
        <f t="shared" si="12"/>
        <v>0.21008156798309957</v>
      </c>
      <c r="E21" s="20">
        <f t="shared" si="12"/>
        <v>0.19643556600078338</v>
      </c>
      <c r="F21" s="20">
        <f t="shared" si="12"/>
        <v>0.20486423883670057</v>
      </c>
      <c r="G21" s="20">
        <f t="shared" si="12"/>
        <v>0.21078463885388343</v>
      </c>
      <c r="H21" s="20">
        <f t="shared" si="12"/>
        <v>0.19781227946365557</v>
      </c>
      <c r="I21" s="20">
        <f t="shared" si="12"/>
        <v>0.19469808541973488</v>
      </c>
      <c r="J21" s="20">
        <f t="shared" si="12"/>
        <v>0.20526427510082779</v>
      </c>
      <c r="K21" s="20">
        <f t="shared" si="12"/>
        <v>0.2094102054340623</v>
      </c>
      <c r="L21" s="20">
        <f t="shared" si="12"/>
        <v>0.19846378931967809</v>
      </c>
      <c r="M21" s="20">
        <f t="shared" si="12"/>
        <v>0.18709374265799991</v>
      </c>
      <c r="N21" s="20">
        <f t="shared" si="12"/>
        <v>0.20440867232252913</v>
      </c>
      <c r="O21" s="20">
        <f t="shared" si="12"/>
        <v>0.2009646302250804</v>
      </c>
      <c r="P21" s="20">
        <f t="shared" si="12"/>
        <v>0.19964866722676233</v>
      </c>
      <c r="Q21" s="20">
        <f t="shared" ref="Q21:T21" si="13">Q10/Q5</f>
        <v>0.18950958103280285</v>
      </c>
      <c r="R21" s="20">
        <f t="shared" si="13"/>
        <v>0.20495389904672603</v>
      </c>
      <c r="S21" s="20">
        <f t="shared" si="13"/>
        <v>0.21216184241659439</v>
      </c>
      <c r="T21" s="20">
        <f t="shared" si="13"/>
        <v>0.19775678866587951</v>
      </c>
    </row>
    <row r="22" spans="1:20" x14ac:dyDescent="0.25">
      <c r="A22" s="3" t="s">
        <v>4</v>
      </c>
      <c r="B22" s="20">
        <f t="shared" ref="B22:P22" si="14">B15/B5</f>
        <v>0.15790057700843324</v>
      </c>
      <c r="C22" s="20">
        <f t="shared" si="14"/>
        <v>0.16141909366917795</v>
      </c>
      <c r="D22" s="20">
        <f t="shared" si="14"/>
        <v>0.15820667801185379</v>
      </c>
      <c r="E22" s="20">
        <f t="shared" si="14"/>
        <v>0.15093354223789007</v>
      </c>
      <c r="F22" s="20">
        <f t="shared" si="14"/>
        <v>0.15667224295457474</v>
      </c>
      <c r="G22" s="20">
        <f t="shared" si="14"/>
        <v>0.15898388273529218</v>
      </c>
      <c r="H22" s="20">
        <f t="shared" si="14"/>
        <v>0.14862385321100915</v>
      </c>
      <c r="I22" s="20">
        <f t="shared" si="14"/>
        <v>0.14440353460972016</v>
      </c>
      <c r="J22" s="20">
        <f t="shared" si="14"/>
        <v>0.15672539446685058</v>
      </c>
      <c r="K22" s="20">
        <f t="shared" si="14"/>
        <v>0.15831676607024522</v>
      </c>
      <c r="L22" s="20">
        <f t="shared" si="14"/>
        <v>0.14820775420629115</v>
      </c>
      <c r="M22" s="20">
        <f t="shared" si="14"/>
        <v>0.1399483123188974</v>
      </c>
      <c r="N22" s="20">
        <f t="shared" si="14"/>
        <v>0.1548111086940758</v>
      </c>
      <c r="O22" s="20">
        <f t="shared" si="14"/>
        <v>0.14951768488745987</v>
      </c>
      <c r="P22" s="20">
        <f t="shared" si="14"/>
        <v>0.14824715496830362</v>
      </c>
      <c r="Q22" s="20">
        <f t="shared" ref="Q22:T22" si="15">Q15/Q5</f>
        <v>0.13705748619681715</v>
      </c>
      <c r="R22" s="20">
        <f t="shared" si="15"/>
        <v>0.15439912486325985</v>
      </c>
      <c r="S22" s="20">
        <f t="shared" si="15"/>
        <v>0.16657465099771282</v>
      </c>
      <c r="T22" s="20">
        <f t="shared" si="15"/>
        <v>0.14698937426210149</v>
      </c>
    </row>
    <row r="23" spans="1:20" x14ac:dyDescent="0.25">
      <c r="B23" s="21"/>
      <c r="C23" s="21"/>
      <c r="D23" s="21"/>
      <c r="E23" s="21"/>
      <c r="F23" s="21"/>
      <c r="G23" s="21"/>
      <c r="H23" s="21"/>
      <c r="I23" s="21"/>
      <c r="J23" s="22"/>
      <c r="K23" s="22"/>
      <c r="L23" s="9"/>
      <c r="M23" s="9"/>
      <c r="N23" s="9"/>
      <c r="O23" s="10"/>
      <c r="P23" s="10"/>
      <c r="Q23" s="10"/>
      <c r="R23" s="10"/>
      <c r="S23" s="10"/>
      <c r="T23" s="10"/>
    </row>
    <row r="24" spans="1:20" x14ac:dyDescent="0.25">
      <c r="A24" s="3" t="s">
        <v>126</v>
      </c>
      <c r="B24" s="20">
        <f t="shared" ref="B24:P24" si="16">B8/B5</f>
        <v>0.24816910785619173</v>
      </c>
      <c r="C24" s="20">
        <f t="shared" si="16"/>
        <v>0.24974699201619252</v>
      </c>
      <c r="D24" s="20">
        <f t="shared" si="16"/>
        <v>0.25544275570682473</v>
      </c>
      <c r="E24" s="20">
        <f t="shared" si="16"/>
        <v>0.26896461679070377</v>
      </c>
      <c r="F24" s="20">
        <f t="shared" si="16"/>
        <v>0.2585252863209368</v>
      </c>
      <c r="G24" s="20">
        <f t="shared" si="16"/>
        <v>0.25396298998474498</v>
      </c>
      <c r="H24" s="20">
        <f t="shared" si="16"/>
        <v>0.25624558927311225</v>
      </c>
      <c r="I24" s="20">
        <f t="shared" si="16"/>
        <v>0.26119293078055966</v>
      </c>
      <c r="J24" s="20">
        <f t="shared" si="16"/>
        <v>0.24870869595981038</v>
      </c>
      <c r="K24" s="20">
        <f t="shared" si="16"/>
        <v>0.235453943008615</v>
      </c>
      <c r="L24" s="20">
        <f t="shared" si="16"/>
        <v>0.26766642282370151</v>
      </c>
      <c r="M24" s="20">
        <f t="shared" si="16"/>
        <v>0.28185449134622909</v>
      </c>
      <c r="N24" s="20">
        <f t="shared" si="16"/>
        <v>0.26771082590094991</v>
      </c>
      <c r="O24" s="20">
        <f t="shared" si="16"/>
        <v>0.26797719964922534</v>
      </c>
      <c r="P24" s="20">
        <f t="shared" si="16"/>
        <v>0.27770564423737876</v>
      </c>
      <c r="Q24" s="20">
        <f t="shared" ref="Q24:T24" si="17">Q8/Q5</f>
        <v>0.28775576485872034</v>
      </c>
      <c r="R24" s="20">
        <f t="shared" si="17"/>
        <v>0.27644944522581655</v>
      </c>
      <c r="S24" s="20">
        <f t="shared" si="17"/>
        <v>0.27549491284801642</v>
      </c>
      <c r="T24" s="20">
        <f t="shared" si="17"/>
        <v>0.28900320458762019</v>
      </c>
    </row>
    <row r="25" spans="1:20" x14ac:dyDescent="0.25">
      <c r="B25" s="20"/>
      <c r="C25" s="20"/>
      <c r="D25" s="20"/>
      <c r="E25" s="20"/>
      <c r="F25" s="20"/>
      <c r="G25" s="20"/>
      <c r="H25" s="20"/>
      <c r="I25" s="20"/>
      <c r="J25" s="20"/>
      <c r="K25" s="20"/>
      <c r="L25" s="20"/>
      <c r="M25" s="20"/>
      <c r="N25" s="20"/>
      <c r="O25" s="20"/>
      <c r="P25" s="20"/>
      <c r="Q25" s="20"/>
      <c r="R25" s="20"/>
      <c r="S25" s="20"/>
      <c r="T25" s="20"/>
    </row>
    <row r="26" spans="1:20" x14ac:dyDescent="0.25">
      <c r="A26" s="3" t="s">
        <v>124</v>
      </c>
      <c r="B26" s="20">
        <f t="shared" ref="B26:P26" si="18">B14/B13</f>
        <v>0.24167332800426322</v>
      </c>
      <c r="C26" s="20">
        <f t="shared" si="18"/>
        <v>0.24586288416075652</v>
      </c>
      <c r="D26" s="20">
        <f t="shared" si="18"/>
        <v>0.24205791397244869</v>
      </c>
      <c r="E26" s="20">
        <f t="shared" si="18"/>
        <v>0.22546063651591289</v>
      </c>
      <c r="F26" s="20">
        <f t="shared" si="18"/>
        <v>0.22967415374881359</v>
      </c>
      <c r="G26" s="20">
        <f t="shared" si="18"/>
        <v>0.23953045685279184</v>
      </c>
      <c r="H26" s="20">
        <f t="shared" si="18"/>
        <v>0.24217344368477869</v>
      </c>
      <c r="I26" s="20">
        <f t="shared" si="18"/>
        <v>0.25209763539282987</v>
      </c>
      <c r="J26" s="20">
        <f t="shared" si="18"/>
        <v>0.22983310152990269</v>
      </c>
      <c r="K26" s="20">
        <f t="shared" si="18"/>
        <v>0.23844437360535539</v>
      </c>
      <c r="L26" s="20">
        <f t="shared" si="18"/>
        <v>0.24739970282317977</v>
      </c>
      <c r="M26" s="20">
        <f t="shared" si="18"/>
        <v>0.24407783417935691</v>
      </c>
      <c r="N26" s="20">
        <f t="shared" si="18"/>
        <v>0.23311781609195412</v>
      </c>
      <c r="O26" s="20">
        <f t="shared" si="18"/>
        <v>0.24613117170228435</v>
      </c>
      <c r="P26" s="20">
        <f t="shared" si="18"/>
        <v>0.24621359223300976</v>
      </c>
      <c r="Q26" s="20">
        <f t="shared" ref="Q26:T26" si="19">Q14/Q13</f>
        <v>0.26544821583986078</v>
      </c>
      <c r="R26" s="20">
        <f t="shared" si="19"/>
        <v>0.23824209714726294</v>
      </c>
      <c r="S26" s="20">
        <f t="shared" si="19"/>
        <v>0.20571643474990592</v>
      </c>
      <c r="T26" s="20">
        <f t="shared" si="19"/>
        <v>0.2483829236739975</v>
      </c>
    </row>
    <row r="27" spans="1:20" x14ac:dyDescent="0.25">
      <c r="A27" s="3" t="s">
        <v>110</v>
      </c>
      <c r="B27" s="20">
        <f>(B5/C5)-1</f>
        <v>1.3381311143596086E-2</v>
      </c>
      <c r="C27" s="20">
        <f t="shared" ref="C27:S27" si="20">(C5/D5)-1</f>
        <v>4.3718091661287595E-2</v>
      </c>
      <c r="D27" s="20">
        <f t="shared" si="20"/>
        <v>0.11248204726465594</v>
      </c>
      <c r="E27" s="20">
        <f t="shared" si="20"/>
        <v>-1.4412559516149837E-2</v>
      </c>
      <c r="F27" s="20">
        <f t="shared" si="20"/>
        <v>3.0841679379186804E-2</v>
      </c>
      <c r="G27" s="20">
        <f t="shared" si="20"/>
        <v>6.400846859562459E-2</v>
      </c>
      <c r="H27" s="20">
        <f t="shared" si="20"/>
        <v>4.344624447717238E-2</v>
      </c>
      <c r="I27" s="20">
        <f t="shared" si="20"/>
        <v>-3.9128281327389769E-2</v>
      </c>
      <c r="J27" s="20">
        <f t="shared" si="20"/>
        <v>-6.3419483101391672E-2</v>
      </c>
      <c r="K27" s="20">
        <f t="shared" si="20"/>
        <v>0.1038771031455743</v>
      </c>
      <c r="L27" s="20">
        <f t="shared" si="20"/>
        <v>7.0561516171979033E-2</v>
      </c>
      <c r="M27" s="20">
        <f t="shared" si="20"/>
        <v>-7.4106301210934533E-2</v>
      </c>
      <c r="N27" s="20">
        <f t="shared" si="20"/>
        <v>7.8193510669393174E-3</v>
      </c>
      <c r="O27" s="20">
        <f t="shared" si="20"/>
        <v>4.513862369204924E-2</v>
      </c>
      <c r="P27" s="20">
        <f t="shared" si="20"/>
        <v>6.3088665151023182E-2</v>
      </c>
      <c r="Q27" s="20">
        <f t="shared" si="20"/>
        <v>-3.7662134708548289E-2</v>
      </c>
      <c r="R27" s="20">
        <f t="shared" si="20"/>
        <v>9.3855982332990973E-3</v>
      </c>
      <c r="S27" s="20">
        <f t="shared" si="20"/>
        <v>6.9235958846348478E-2</v>
      </c>
      <c r="T27" s="20"/>
    </row>
    <row r="28" spans="1:20" x14ac:dyDescent="0.25">
      <c r="B28" s="10"/>
      <c r="C28" s="10"/>
      <c r="D28" s="10"/>
      <c r="E28" s="10"/>
      <c r="F28" s="10"/>
      <c r="G28" s="10"/>
      <c r="H28" s="10"/>
      <c r="I28" s="10"/>
      <c r="K28" s="9"/>
      <c r="L28" s="9"/>
      <c r="M28" s="9"/>
      <c r="N28" s="9"/>
      <c r="O28" s="10"/>
      <c r="P28" s="10"/>
      <c r="Q28" s="10"/>
      <c r="R28" s="10"/>
      <c r="S28" s="10"/>
      <c r="T28" s="10"/>
    </row>
    <row r="29" spans="1:20" x14ac:dyDescent="0.25">
      <c r="B29" s="14"/>
      <c r="C29" s="14"/>
      <c r="D29" s="14"/>
      <c r="E29" s="14"/>
      <c r="F29" s="14"/>
      <c r="G29" s="14"/>
      <c r="H29" s="14"/>
      <c r="I29" s="14"/>
      <c r="J29" s="14"/>
      <c r="K29" s="14"/>
      <c r="L29" s="14"/>
      <c r="M29" s="14"/>
      <c r="N29" s="14"/>
      <c r="O29" s="14"/>
      <c r="P29" s="14"/>
      <c r="Q29" s="14"/>
      <c r="R29" s="14"/>
      <c r="S29" s="14"/>
      <c r="T29" s="14"/>
    </row>
    <row r="30" spans="1:20" x14ac:dyDescent="0.25">
      <c r="B30" s="20"/>
      <c r="C30" s="20"/>
      <c r="D30" s="20"/>
      <c r="E30" s="20"/>
      <c r="F30" s="20"/>
      <c r="G30" s="20"/>
      <c r="H30" s="20"/>
      <c r="I30" s="20"/>
      <c r="J30" s="20"/>
      <c r="K30" s="20"/>
      <c r="L30" s="20"/>
      <c r="M30" s="20"/>
      <c r="N30" s="20"/>
      <c r="O30" s="20"/>
      <c r="P30" s="20"/>
      <c r="Q30" s="20"/>
      <c r="R30" s="20"/>
      <c r="S30" s="20"/>
      <c r="T30" s="20"/>
    </row>
    <row r="31" spans="1:20" x14ac:dyDescent="0.25">
      <c r="B31" s="10"/>
      <c r="C31" s="10"/>
      <c r="D31" s="10"/>
      <c r="E31" s="10"/>
      <c r="F31" s="10"/>
      <c r="G31" s="10"/>
      <c r="H31" s="10"/>
      <c r="I31" s="10"/>
      <c r="J31" s="10"/>
      <c r="K31" s="10"/>
      <c r="L31" s="10"/>
      <c r="M31" s="10"/>
      <c r="N31" s="10"/>
      <c r="O31" s="10"/>
      <c r="P31" s="10"/>
      <c r="Q31" s="10"/>
      <c r="R31" s="10"/>
      <c r="S31" s="10"/>
      <c r="T31" s="10"/>
    </row>
    <row r="32" spans="1:20" x14ac:dyDescent="0.25">
      <c r="B32" s="14"/>
      <c r="C32" s="14"/>
      <c r="D32" s="14"/>
      <c r="E32" s="14"/>
      <c r="F32" s="14"/>
      <c r="G32" s="14"/>
      <c r="H32" s="14"/>
      <c r="I32" s="14"/>
      <c r="J32" s="14"/>
      <c r="K32" s="14"/>
      <c r="L32" s="14"/>
      <c r="M32" s="14"/>
      <c r="N32" s="14"/>
      <c r="O32" s="14"/>
      <c r="P32" s="14"/>
      <c r="Q32" s="14"/>
      <c r="R32" s="14"/>
      <c r="S32" s="14"/>
      <c r="T32" s="14"/>
    </row>
    <row r="33" spans="2:20" x14ac:dyDescent="0.25">
      <c r="B33" s="20"/>
      <c r="C33" s="20"/>
      <c r="D33" s="20"/>
      <c r="E33" s="20"/>
      <c r="F33" s="20"/>
      <c r="G33" s="20"/>
      <c r="H33" s="20"/>
      <c r="I33" s="20"/>
      <c r="J33" s="20"/>
      <c r="K33" s="20"/>
      <c r="L33" s="20"/>
      <c r="M33" s="20"/>
      <c r="N33" s="20"/>
      <c r="O33" s="20"/>
      <c r="P33" s="20"/>
      <c r="Q33" s="20"/>
      <c r="R33" s="20"/>
      <c r="S33" s="20"/>
      <c r="T33" s="20"/>
    </row>
    <row r="34" spans="2:20" x14ac:dyDescent="0.25">
      <c r="G34" s="10"/>
      <c r="H34" s="10"/>
      <c r="I34" s="10"/>
      <c r="K34" s="9"/>
      <c r="L34" s="9"/>
      <c r="M34" s="9"/>
      <c r="N34" s="9"/>
      <c r="O34" s="10"/>
      <c r="P34" s="10"/>
    </row>
    <row r="35" spans="2:20" x14ac:dyDescent="0.25">
      <c r="B35" s="58"/>
      <c r="C35" s="58"/>
      <c r="D35" s="58"/>
      <c r="E35" s="58"/>
      <c r="F35" s="58"/>
      <c r="G35" s="58"/>
      <c r="H35" s="58"/>
      <c r="I35" s="58"/>
      <c r="J35" s="58"/>
      <c r="K35" s="58"/>
      <c r="L35" s="58"/>
      <c r="M35" s="58"/>
      <c r="N35" s="58"/>
      <c r="O35" s="58"/>
      <c r="P35" s="58"/>
    </row>
    <row r="36" spans="2:20" x14ac:dyDescent="0.25">
      <c r="G36" s="10"/>
      <c r="H36" s="10"/>
      <c r="I36" s="10"/>
      <c r="K36" s="9"/>
      <c r="L36" s="9"/>
      <c r="M36" s="9"/>
      <c r="N36" s="9"/>
      <c r="O36" s="10"/>
      <c r="P36" s="10"/>
    </row>
    <row r="37" spans="2:20" x14ac:dyDescent="0.25">
      <c r="G37" s="10"/>
      <c r="H37" s="10"/>
      <c r="I37" s="10"/>
      <c r="K37" s="9"/>
      <c r="L37" s="9"/>
      <c r="M37" s="9"/>
      <c r="N37" s="9"/>
      <c r="O37" s="10"/>
      <c r="P37" s="10"/>
    </row>
    <row r="38" spans="2:20" x14ac:dyDescent="0.25">
      <c r="G38" s="10"/>
      <c r="H38" s="10"/>
      <c r="I38" s="10"/>
      <c r="K38" s="9"/>
      <c r="L38" s="9"/>
      <c r="M38" s="9"/>
      <c r="N38" s="9"/>
      <c r="O38" s="10"/>
      <c r="P38" s="10"/>
    </row>
    <row r="39" spans="2:20" x14ac:dyDescent="0.25">
      <c r="G39" s="10"/>
      <c r="H39" s="10"/>
      <c r="I39" s="10"/>
      <c r="K39" s="9"/>
      <c r="L39" s="9"/>
      <c r="M39" s="9"/>
      <c r="N39" s="9"/>
      <c r="O39" s="10"/>
      <c r="P39" s="10"/>
    </row>
    <row r="40" spans="2:20" x14ac:dyDescent="0.25">
      <c r="G40" s="10"/>
      <c r="H40" s="10"/>
      <c r="I40" s="10"/>
      <c r="K40" s="9"/>
      <c r="L40" s="9"/>
      <c r="M40" s="9"/>
      <c r="N40" s="9"/>
      <c r="O40" s="10"/>
      <c r="P40" s="10"/>
    </row>
    <row r="41" spans="2:20" x14ac:dyDescent="0.25">
      <c r="G41" s="10"/>
      <c r="H41" s="10"/>
      <c r="I41" s="10"/>
      <c r="K41" s="9"/>
      <c r="L41" s="9"/>
      <c r="M41" s="9"/>
      <c r="N41" s="9"/>
      <c r="O41" s="10"/>
      <c r="P41" s="10"/>
    </row>
    <row r="42" spans="2:20" x14ac:dyDescent="0.25">
      <c r="G42" s="10"/>
      <c r="H42" s="10"/>
      <c r="I42" s="10"/>
      <c r="K42" s="9"/>
      <c r="L42" s="9"/>
      <c r="M42" s="9"/>
      <c r="N42" s="9"/>
      <c r="O42" s="10"/>
      <c r="P42" s="10"/>
    </row>
    <row r="43" spans="2:20" x14ac:dyDescent="0.25">
      <c r="G43" s="10"/>
      <c r="H43" s="10"/>
      <c r="I43" s="10"/>
      <c r="K43" s="9"/>
      <c r="L43" s="9"/>
      <c r="M43" s="9"/>
      <c r="N43" s="9"/>
      <c r="O43" s="10"/>
      <c r="P43" s="10"/>
    </row>
    <row r="44" spans="2:20" x14ac:dyDescent="0.25">
      <c r="G44" s="10"/>
      <c r="H44" s="10"/>
      <c r="I44" s="10"/>
      <c r="K44" s="9"/>
      <c r="L44" s="9"/>
      <c r="M44" s="9"/>
      <c r="N44" s="9"/>
      <c r="O44" s="10"/>
      <c r="P44" s="10"/>
    </row>
    <row r="45" spans="2:20" x14ac:dyDescent="0.25">
      <c r="G45" s="10"/>
      <c r="H45" s="10"/>
      <c r="I45" s="10"/>
      <c r="K45" s="9"/>
      <c r="L45" s="9"/>
      <c r="M45" s="9"/>
      <c r="N45" s="9"/>
      <c r="O45" s="10"/>
      <c r="P45" s="10"/>
    </row>
  </sheetData>
  <mergeCells count="2">
    <mergeCell ref="A1:B1"/>
    <mergeCell ref="B3:T3"/>
  </mergeCells>
  <pageMargins left="0.7" right="0.7" top="0.75" bottom="0.75" header="0.3" footer="0.3"/>
  <pageSetup scale="65" fitToHeight="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515F9-6891-AE46-8B4F-617843AEF7BA}">
  <sheetPr>
    <tabColor rgb="FFFFC000"/>
  </sheetPr>
  <dimension ref="A1:P47"/>
  <sheetViews>
    <sheetView workbookViewId="0">
      <pane ySplit="3" topLeftCell="A4" activePane="bottomLeft" state="frozen"/>
      <selection pane="bottomLeft"/>
    </sheetView>
  </sheetViews>
  <sheetFormatPr baseColWidth="10" defaultColWidth="9.1640625" defaultRowHeight="19" x14ac:dyDescent="0.25"/>
  <cols>
    <col min="1" max="1" width="55" style="3" bestFit="1" customWidth="1"/>
    <col min="2" max="16" width="10.33203125" style="3" customWidth="1"/>
    <col min="17" max="17" width="10.6640625" style="3" customWidth="1"/>
    <col min="18" max="16384" width="9.1640625" style="3"/>
  </cols>
  <sheetData>
    <row r="1" spans="1:16" ht="24" x14ac:dyDescent="0.3">
      <c r="A1" s="76" t="s">
        <v>214</v>
      </c>
      <c r="B1" s="57"/>
      <c r="C1" s="57"/>
      <c r="D1" s="57"/>
      <c r="E1" s="57"/>
      <c r="F1" s="57"/>
      <c r="G1" s="57"/>
      <c r="H1" s="8"/>
      <c r="I1" s="8"/>
      <c r="J1" s="8"/>
    </row>
    <row r="2" spans="1:16" x14ac:dyDescent="0.25">
      <c r="A2" s="23" t="s">
        <v>208</v>
      </c>
      <c r="B2" s="23"/>
      <c r="C2" s="23"/>
      <c r="D2" s="23"/>
      <c r="E2" s="23"/>
      <c r="F2" s="23"/>
      <c r="G2" s="23"/>
      <c r="H2" s="23"/>
      <c r="I2" s="23"/>
      <c r="J2" s="23"/>
    </row>
    <row r="3" spans="1:16" x14ac:dyDescent="0.25">
      <c r="A3" s="42"/>
      <c r="B3" s="44">
        <v>44834</v>
      </c>
      <c r="C3" s="44">
        <v>44742</v>
      </c>
      <c r="D3" s="44">
        <v>44651</v>
      </c>
      <c r="E3" s="44">
        <v>44561</v>
      </c>
      <c r="F3" s="44">
        <v>44469</v>
      </c>
      <c r="G3" s="44">
        <v>44377</v>
      </c>
      <c r="H3" s="44">
        <v>44286</v>
      </c>
      <c r="I3" s="44">
        <v>44196</v>
      </c>
      <c r="J3" s="44">
        <v>44104</v>
      </c>
      <c r="K3" s="44">
        <v>44012</v>
      </c>
      <c r="L3" s="44">
        <v>43921</v>
      </c>
      <c r="M3" s="75">
        <v>43830</v>
      </c>
      <c r="N3" s="44">
        <v>43738</v>
      </c>
      <c r="O3" s="44">
        <v>43646</v>
      </c>
      <c r="P3" s="44">
        <v>43555</v>
      </c>
    </row>
    <row r="4" spans="1:16" x14ac:dyDescent="0.25">
      <c r="A4" s="8" t="s">
        <v>157</v>
      </c>
      <c r="B4" s="15">
        <f>'Operating Summary (Quarterly)'!B5</f>
        <v>1802.4</v>
      </c>
      <c r="C4" s="15">
        <f>'Operating Summary (Quarterly)'!C5</f>
        <v>1778.6</v>
      </c>
      <c r="D4" s="15">
        <f>'Operating Summary (Quarterly)'!D5</f>
        <v>1704.1</v>
      </c>
      <c r="E4" s="15">
        <f>'Operating Summary (Quarterly)'!E5</f>
        <v>1531.8</v>
      </c>
      <c r="F4" s="15">
        <f>'Operating Summary (Quarterly)'!F5</f>
        <v>1554.2</v>
      </c>
      <c r="G4" s="15">
        <f>'Operating Summary (Quarterly)'!G5</f>
        <v>1507.7</v>
      </c>
      <c r="H4" s="15">
        <f>'Operating Summary (Quarterly)'!H5</f>
        <v>1417</v>
      </c>
      <c r="I4" s="15">
        <f>'Operating Summary (Quarterly)'!I5</f>
        <v>1358</v>
      </c>
      <c r="J4" s="15">
        <f>'Operating Summary (Quarterly)'!J5</f>
        <v>1413.3</v>
      </c>
      <c r="K4" s="15">
        <f>'Operating Summary (Quarterly)'!K5</f>
        <v>1509</v>
      </c>
      <c r="L4" s="15">
        <f>'Operating Summary (Quarterly)'!L5</f>
        <v>1367</v>
      </c>
      <c r="M4" s="15">
        <f>'Operating Summary (Quarterly)'!M5</f>
        <v>1276.9000000000001</v>
      </c>
      <c r="N4" s="15">
        <f>'Operating Summary (Quarterly)'!N5</f>
        <v>1379.1</v>
      </c>
      <c r="O4" s="15">
        <f>'Operating Summary (Quarterly)'!O5</f>
        <v>1368.4</v>
      </c>
      <c r="P4" s="15">
        <f>'Operating Summary (Quarterly)'!P5</f>
        <v>1309.3</v>
      </c>
    </row>
    <row r="5" spans="1:16" x14ac:dyDescent="0.25">
      <c r="A5" s="3" t="s">
        <v>94</v>
      </c>
      <c r="B5" s="10">
        <v>64</v>
      </c>
      <c r="C5" s="10">
        <v>64</v>
      </c>
      <c r="D5" s="10">
        <v>64</v>
      </c>
      <c r="E5" s="10">
        <v>62</v>
      </c>
      <c r="F5" s="10">
        <v>64</v>
      </c>
      <c r="G5" s="10">
        <v>64</v>
      </c>
      <c r="H5" s="10">
        <v>63</v>
      </c>
      <c r="I5" s="10">
        <v>63</v>
      </c>
      <c r="J5" s="10">
        <v>64</v>
      </c>
      <c r="K5" s="10">
        <v>64</v>
      </c>
      <c r="L5" s="10">
        <v>64</v>
      </c>
      <c r="M5" s="10">
        <v>63</v>
      </c>
      <c r="N5" s="10">
        <v>64</v>
      </c>
      <c r="O5" s="10">
        <v>64</v>
      </c>
      <c r="P5" s="10">
        <v>64</v>
      </c>
    </row>
    <row r="6" spans="1:16" x14ac:dyDescent="0.25">
      <c r="A6" s="3" t="s">
        <v>158</v>
      </c>
      <c r="B6" s="14">
        <f>B4/B5</f>
        <v>28.162500000000001</v>
      </c>
      <c r="C6" s="14">
        <f t="shared" ref="C6:L6" si="0">C4/C5</f>
        <v>27.790624999999999</v>
      </c>
      <c r="D6" s="14">
        <f t="shared" si="0"/>
        <v>26.626562499999999</v>
      </c>
      <c r="E6" s="14">
        <f t="shared" si="0"/>
        <v>24.706451612903226</v>
      </c>
      <c r="F6" s="14">
        <f t="shared" si="0"/>
        <v>24.284375000000001</v>
      </c>
      <c r="G6" s="14">
        <f t="shared" si="0"/>
        <v>23.557812500000001</v>
      </c>
      <c r="H6" s="14">
        <f t="shared" si="0"/>
        <v>22.49206349206349</v>
      </c>
      <c r="I6" s="14">
        <f t="shared" si="0"/>
        <v>21.555555555555557</v>
      </c>
      <c r="J6" s="14">
        <f t="shared" si="0"/>
        <v>22.082812499999999</v>
      </c>
      <c r="K6" s="14">
        <f t="shared" si="0"/>
        <v>23.578125</v>
      </c>
      <c r="L6" s="14">
        <f t="shared" si="0"/>
        <v>21.359375</v>
      </c>
      <c r="M6" s="14">
        <f>M4/M5</f>
        <v>20.268253968253969</v>
      </c>
      <c r="N6" s="14">
        <f t="shared" ref="N6" si="1">N4/N5</f>
        <v>21.548437499999999</v>
      </c>
      <c r="O6" s="14">
        <f t="shared" ref="O6" si="2">O4/O5</f>
        <v>21.381250000000001</v>
      </c>
      <c r="P6" s="14">
        <f t="shared" ref="P6" si="3">P4/P5</f>
        <v>20.457812499999999</v>
      </c>
    </row>
    <row r="7" spans="1:16" x14ac:dyDescent="0.25">
      <c r="H7" s="13"/>
      <c r="I7" s="13"/>
      <c r="J7" s="13"/>
      <c r="K7" s="13"/>
      <c r="L7" s="13"/>
      <c r="M7" s="13"/>
      <c r="N7" s="13"/>
      <c r="O7" s="13"/>
      <c r="P7" s="13"/>
    </row>
    <row r="8" spans="1:16" x14ac:dyDescent="0.25">
      <c r="A8" s="8" t="s">
        <v>215</v>
      </c>
      <c r="B8" s="10">
        <v>99409</v>
      </c>
      <c r="C8" s="10">
        <v>96872</v>
      </c>
      <c r="D8" s="10">
        <v>94425</v>
      </c>
      <c r="E8" s="10">
        <v>92874</v>
      </c>
      <c r="F8" s="10">
        <v>90493</v>
      </c>
      <c r="G8" s="10">
        <v>87567</v>
      </c>
      <c r="H8" s="10">
        <v>85157</v>
      </c>
      <c r="I8" s="10">
        <v>83951</v>
      </c>
      <c r="J8" s="10">
        <v>82261</v>
      </c>
      <c r="K8" s="10">
        <v>80124</v>
      </c>
      <c r="L8" s="10">
        <v>79194</v>
      </c>
      <c r="M8" s="148" t="s">
        <v>220</v>
      </c>
      <c r="N8" s="149"/>
      <c r="O8" s="149"/>
      <c r="P8" s="150"/>
    </row>
    <row r="9" spans="1:16" x14ac:dyDescent="0.25">
      <c r="A9" s="23" t="s">
        <v>155</v>
      </c>
      <c r="B9" s="23"/>
      <c r="C9" s="23"/>
      <c r="D9" s="23"/>
      <c r="E9" s="23"/>
      <c r="F9" s="23"/>
      <c r="G9" s="23"/>
      <c r="H9" s="10"/>
      <c r="I9" s="10"/>
      <c r="J9" s="10"/>
      <c r="K9" s="10"/>
      <c r="L9" s="10"/>
      <c r="M9" s="10"/>
      <c r="N9" s="10"/>
      <c r="O9" s="10"/>
      <c r="P9" s="10"/>
    </row>
    <row r="10" spans="1:16" x14ac:dyDescent="0.25">
      <c r="A10" s="23"/>
      <c r="B10" s="23"/>
      <c r="C10" s="23"/>
      <c r="D10" s="23"/>
      <c r="E10" s="23"/>
      <c r="F10" s="23"/>
      <c r="G10" s="23"/>
      <c r="H10" s="10"/>
      <c r="I10" s="10"/>
      <c r="J10" s="10"/>
      <c r="K10" s="10"/>
      <c r="L10" s="10"/>
      <c r="M10" s="10"/>
      <c r="N10" s="10"/>
      <c r="O10" s="10"/>
      <c r="P10" s="10"/>
    </row>
    <row r="11" spans="1:16" x14ac:dyDescent="0.25">
      <c r="A11" s="8" t="s">
        <v>217</v>
      </c>
      <c r="B11" s="14"/>
      <c r="C11" s="14"/>
      <c r="D11" s="14"/>
      <c r="E11" s="14"/>
      <c r="F11" s="14"/>
      <c r="G11" s="14"/>
      <c r="H11" s="14"/>
      <c r="I11" s="14"/>
      <c r="J11" s="14"/>
      <c r="K11" s="14"/>
      <c r="L11" s="14"/>
      <c r="M11" s="14"/>
      <c r="N11" s="14"/>
      <c r="O11" s="14"/>
      <c r="P11" s="14"/>
    </row>
    <row r="12" spans="1:16" x14ac:dyDescent="0.25">
      <c r="A12" s="3" t="s">
        <v>178</v>
      </c>
      <c r="B12" s="14">
        <v>215.9</v>
      </c>
      <c r="C12" s="14">
        <v>207.3</v>
      </c>
      <c r="D12" s="14">
        <v>198.5</v>
      </c>
      <c r="E12" s="14">
        <v>170.7</v>
      </c>
      <c r="F12" s="14">
        <v>165.9</v>
      </c>
      <c r="G12" s="14">
        <v>140.5</v>
      </c>
      <c r="H12" s="14">
        <v>110.5</v>
      </c>
      <c r="I12" s="14">
        <v>92.9</v>
      </c>
      <c r="J12" s="14">
        <v>88.1</v>
      </c>
      <c r="K12" s="14">
        <v>56.8</v>
      </c>
      <c r="L12" s="151" t="s">
        <v>220</v>
      </c>
      <c r="M12" s="152"/>
      <c r="N12" s="152"/>
      <c r="O12" s="152"/>
      <c r="P12" s="153"/>
    </row>
    <row r="13" spans="1:16" x14ac:dyDescent="0.25">
      <c r="A13" s="3" t="s">
        <v>179</v>
      </c>
      <c r="B13" s="14">
        <v>456.9</v>
      </c>
      <c r="C13" s="14">
        <v>433.3</v>
      </c>
      <c r="D13" s="14">
        <v>412</v>
      </c>
      <c r="E13" s="14">
        <v>372.6</v>
      </c>
      <c r="F13" s="14">
        <v>352.4</v>
      </c>
      <c r="G13" s="14">
        <v>327.7</v>
      </c>
      <c r="H13" s="14">
        <v>301</v>
      </c>
      <c r="I13" s="14">
        <v>280.8</v>
      </c>
      <c r="J13" s="14">
        <v>269.3</v>
      </c>
      <c r="K13" s="14">
        <v>233.4</v>
      </c>
      <c r="L13" s="154"/>
      <c r="M13" s="155"/>
      <c r="N13" s="155"/>
      <c r="O13" s="155"/>
      <c r="P13" s="156"/>
    </row>
    <row r="14" spans="1:16" ht="20" thickBot="1" x14ac:dyDescent="0.3">
      <c r="A14" s="8" t="s">
        <v>180</v>
      </c>
      <c r="B14" s="39">
        <f>SUM(B12:B13)</f>
        <v>672.8</v>
      </c>
      <c r="C14" s="39">
        <f>SUM(C12:C13)</f>
        <v>640.6</v>
      </c>
      <c r="D14" s="39">
        <f>SUM(D12:D13)</f>
        <v>610.5</v>
      </c>
      <c r="E14" s="39">
        <f t="shared" ref="E14:K14" si="4">SUM(E12:E13)</f>
        <v>543.29999999999995</v>
      </c>
      <c r="F14" s="39">
        <f t="shared" si="4"/>
        <v>518.29999999999995</v>
      </c>
      <c r="G14" s="39">
        <f t="shared" si="4"/>
        <v>468.2</v>
      </c>
      <c r="H14" s="39">
        <f t="shared" si="4"/>
        <v>411.5</v>
      </c>
      <c r="I14" s="39">
        <f t="shared" si="4"/>
        <v>373.70000000000005</v>
      </c>
      <c r="J14" s="39">
        <f t="shared" si="4"/>
        <v>357.4</v>
      </c>
      <c r="K14" s="39">
        <f t="shared" si="4"/>
        <v>290.2</v>
      </c>
      <c r="L14" s="157"/>
      <c r="M14" s="158"/>
      <c r="N14" s="158"/>
      <c r="O14" s="158"/>
      <c r="P14" s="159"/>
    </row>
    <row r="15" spans="1:16" ht="20" thickTop="1" x14ac:dyDescent="0.25">
      <c r="B15" s="14"/>
      <c r="C15" s="14"/>
      <c r="D15" s="14"/>
      <c r="E15" s="14"/>
      <c r="F15" s="14"/>
      <c r="G15" s="14"/>
      <c r="H15" s="14"/>
      <c r="I15" s="14"/>
      <c r="J15" s="14"/>
      <c r="K15" s="14"/>
      <c r="L15" s="14"/>
      <c r="M15" s="14"/>
      <c r="N15" s="14"/>
      <c r="O15" s="14"/>
      <c r="P15" s="14"/>
    </row>
    <row r="16" spans="1:16" x14ac:dyDescent="0.25">
      <c r="A16" s="8" t="s">
        <v>218</v>
      </c>
      <c r="B16" s="14"/>
      <c r="C16" s="14"/>
      <c r="D16" s="14"/>
      <c r="E16" s="14"/>
      <c r="F16" s="14"/>
      <c r="G16" s="14"/>
      <c r="H16" s="14"/>
      <c r="I16" s="14"/>
      <c r="J16" s="14"/>
      <c r="K16" s="14"/>
      <c r="L16" s="14"/>
      <c r="M16" s="14"/>
      <c r="N16" s="14"/>
      <c r="O16" s="14"/>
      <c r="P16" s="14"/>
    </row>
    <row r="17" spans="1:16" x14ac:dyDescent="0.25">
      <c r="A17" s="3" t="s">
        <v>178</v>
      </c>
      <c r="B17" s="20">
        <f>B12/B4</f>
        <v>0.11978473146915224</v>
      </c>
      <c r="C17" s="20">
        <f t="shared" ref="C17:K17" si="5">C12/C4</f>
        <v>0.11655234454064996</v>
      </c>
      <c r="D17" s="20">
        <f t="shared" si="5"/>
        <v>0.11648377442638344</v>
      </c>
      <c r="E17" s="20">
        <f t="shared" si="5"/>
        <v>0.11143752448100273</v>
      </c>
      <c r="F17" s="20">
        <f t="shared" si="5"/>
        <v>0.10674301891648437</v>
      </c>
      <c r="G17" s="20">
        <f t="shared" si="5"/>
        <v>9.3188300059693571E-2</v>
      </c>
      <c r="H17" s="20">
        <f t="shared" si="5"/>
        <v>7.7981651376146793E-2</v>
      </c>
      <c r="I17" s="20">
        <f t="shared" si="5"/>
        <v>6.8409425625920478E-2</v>
      </c>
      <c r="J17" s="20">
        <f t="shared" si="5"/>
        <v>6.2336375857921178E-2</v>
      </c>
      <c r="K17" s="20">
        <f t="shared" si="5"/>
        <v>3.7640821736249171E-2</v>
      </c>
      <c r="L17" s="151" t="s">
        <v>220</v>
      </c>
      <c r="M17" s="152"/>
      <c r="N17" s="152"/>
      <c r="O17" s="152"/>
      <c r="P17" s="153"/>
    </row>
    <row r="18" spans="1:16" x14ac:dyDescent="0.25">
      <c r="A18" s="3" t="s">
        <v>179</v>
      </c>
      <c r="B18" s="20">
        <f>B13/B4</f>
        <v>0.25349533954727027</v>
      </c>
      <c r="C18" s="20">
        <f t="shared" ref="C18:K18" si="6">C13/C4</f>
        <v>0.24361857640841114</v>
      </c>
      <c r="D18" s="20">
        <f t="shared" si="6"/>
        <v>0.24176984918725428</v>
      </c>
      <c r="E18" s="20">
        <f t="shared" si="6"/>
        <v>0.24324324324324326</v>
      </c>
      <c r="F18" s="20">
        <f t="shared" si="6"/>
        <v>0.22674044524514217</v>
      </c>
      <c r="G18" s="20">
        <f t="shared" si="6"/>
        <v>0.21735093188300059</v>
      </c>
      <c r="H18" s="20">
        <f t="shared" si="6"/>
        <v>0.21242060691601977</v>
      </c>
      <c r="I18" s="20">
        <f t="shared" si="6"/>
        <v>0.20677466863033875</v>
      </c>
      <c r="J18" s="20">
        <f t="shared" si="6"/>
        <v>0.19054694686195431</v>
      </c>
      <c r="K18" s="20">
        <f t="shared" si="6"/>
        <v>0.15467196819085488</v>
      </c>
      <c r="L18" s="154"/>
      <c r="M18" s="155"/>
      <c r="N18" s="155"/>
      <c r="O18" s="155"/>
      <c r="P18" s="156"/>
    </row>
    <row r="19" spans="1:16" ht="20" thickBot="1" x14ac:dyDescent="0.3">
      <c r="A19" s="8" t="s">
        <v>180</v>
      </c>
      <c r="B19" s="31">
        <f>SUM(B17:B18)</f>
        <v>0.37328007101642252</v>
      </c>
      <c r="C19" s="31">
        <f t="shared" ref="C19:K19" si="7">SUM(C17:C18)</f>
        <v>0.36017092094906111</v>
      </c>
      <c r="D19" s="31">
        <f t="shared" si="7"/>
        <v>0.35825362361363772</v>
      </c>
      <c r="E19" s="31">
        <f t="shared" si="7"/>
        <v>0.354680767724246</v>
      </c>
      <c r="F19" s="31">
        <f t="shared" si="7"/>
        <v>0.33348346416162655</v>
      </c>
      <c r="G19" s="31">
        <f t="shared" si="7"/>
        <v>0.31053923194269417</v>
      </c>
      <c r="H19" s="31">
        <f t="shared" si="7"/>
        <v>0.29040225829216659</v>
      </c>
      <c r="I19" s="31">
        <f t="shared" si="7"/>
        <v>0.27518409425625923</v>
      </c>
      <c r="J19" s="31">
        <f t="shared" si="7"/>
        <v>0.25288332271987546</v>
      </c>
      <c r="K19" s="31">
        <f t="shared" si="7"/>
        <v>0.19231278992710404</v>
      </c>
      <c r="L19" s="157"/>
      <c r="M19" s="158"/>
      <c r="N19" s="158"/>
      <c r="O19" s="158"/>
      <c r="P19" s="159"/>
    </row>
    <row r="20" spans="1:16" ht="20" thickTop="1" x14ac:dyDescent="0.25">
      <c r="H20" s="14"/>
      <c r="I20" s="14"/>
      <c r="J20" s="14"/>
      <c r="K20" s="14"/>
      <c r="L20" s="14"/>
      <c r="M20" s="14"/>
      <c r="N20" s="14"/>
      <c r="O20" s="14"/>
      <c r="P20" s="14"/>
    </row>
    <row r="21" spans="1:16" x14ac:dyDescent="0.25">
      <c r="A21" s="8" t="s">
        <v>216</v>
      </c>
      <c r="B21" s="20">
        <v>0.495</v>
      </c>
      <c r="C21" s="20">
        <v>0.47899999999999998</v>
      </c>
      <c r="D21" s="20">
        <v>0.47</v>
      </c>
      <c r="E21" s="20">
        <v>0.46400000000000002</v>
      </c>
      <c r="F21" s="20">
        <v>0.437</v>
      </c>
      <c r="G21" s="20">
        <v>0.41399999999999998</v>
      </c>
      <c r="H21" s="20">
        <v>0.39100000000000001</v>
      </c>
      <c r="I21" s="145" t="s">
        <v>220</v>
      </c>
      <c r="J21" s="146"/>
      <c r="K21" s="146"/>
      <c r="L21" s="146"/>
      <c r="M21" s="146"/>
      <c r="N21" s="146"/>
      <c r="O21" s="146"/>
      <c r="P21" s="147"/>
    </row>
    <row r="22" spans="1:16" x14ac:dyDescent="0.25">
      <c r="H22" s="14"/>
      <c r="I22" s="14"/>
      <c r="J22" s="14"/>
      <c r="K22" s="14"/>
      <c r="L22" s="14"/>
      <c r="M22" s="14"/>
      <c r="N22" s="14"/>
      <c r="O22" s="14"/>
      <c r="P22" s="14"/>
    </row>
    <row r="23" spans="1:16" x14ac:dyDescent="0.25">
      <c r="A23" s="8" t="s">
        <v>95</v>
      </c>
      <c r="B23" s="8"/>
      <c r="C23" s="8"/>
      <c r="D23" s="8"/>
      <c r="E23" s="8"/>
      <c r="F23" s="8"/>
      <c r="G23" s="8"/>
      <c r="H23" s="10"/>
      <c r="I23" s="10"/>
      <c r="J23" s="10"/>
      <c r="K23" s="10"/>
      <c r="L23" s="10"/>
      <c r="M23" s="10"/>
      <c r="N23" s="10"/>
      <c r="O23" s="10"/>
      <c r="P23" s="10"/>
    </row>
    <row r="24" spans="1:16" x14ac:dyDescent="0.25">
      <c r="A24" s="3" t="s">
        <v>96</v>
      </c>
      <c r="B24" s="20">
        <v>0.34100000000000003</v>
      </c>
      <c r="C24" s="20">
        <v>0.34599999999999997</v>
      </c>
      <c r="D24" s="20">
        <v>0.34300000000000003</v>
      </c>
      <c r="E24" s="20">
        <v>0.33500000000000002</v>
      </c>
      <c r="F24" s="20">
        <v>0.33400000000000002</v>
      </c>
      <c r="G24" s="20">
        <v>0.33600000000000002</v>
      </c>
      <c r="H24" s="20">
        <v>0.32500000000000001</v>
      </c>
      <c r="I24" s="20">
        <v>0.308</v>
      </c>
      <c r="J24" s="20">
        <v>0.30499999999999999</v>
      </c>
      <c r="K24" s="20">
        <v>0.26</v>
      </c>
      <c r="L24" s="20">
        <v>0.32900000000000001</v>
      </c>
      <c r="M24" s="20">
        <v>0.33600000000000002</v>
      </c>
      <c r="N24" s="20">
        <v>0.33700000000000002</v>
      </c>
      <c r="O24" s="20">
        <v>0.34499999999999997</v>
      </c>
      <c r="P24" s="20">
        <v>0.34799999999999998</v>
      </c>
    </row>
    <row r="25" spans="1:16" x14ac:dyDescent="0.25">
      <c r="A25" s="3" t="s">
        <v>104</v>
      </c>
      <c r="B25" s="20">
        <v>0.20499999999999999</v>
      </c>
      <c r="C25" s="20">
        <v>0.20300000000000001</v>
      </c>
      <c r="D25" s="20">
        <v>0.21</v>
      </c>
      <c r="E25" s="20">
        <v>0.214</v>
      </c>
      <c r="F25" s="20">
        <v>0.21099999999999999</v>
      </c>
      <c r="G25" s="20">
        <v>0.21</v>
      </c>
      <c r="H25" s="20">
        <v>0.215</v>
      </c>
      <c r="I25" s="20">
        <v>0.23499999999999999</v>
      </c>
      <c r="J25" s="20">
        <v>0.23799999999999999</v>
      </c>
      <c r="K25" s="20">
        <v>0.34</v>
      </c>
      <c r="L25" s="20">
        <v>0.19800000000000001</v>
      </c>
      <c r="M25" s="20">
        <v>0.187</v>
      </c>
      <c r="N25" s="20">
        <v>0.182</v>
      </c>
      <c r="O25" s="20">
        <v>0.17499999999999999</v>
      </c>
      <c r="P25" s="20">
        <v>0.17199999999999999</v>
      </c>
    </row>
    <row r="26" spans="1:16" x14ac:dyDescent="0.25">
      <c r="A26" s="3" t="s">
        <v>97</v>
      </c>
      <c r="B26" s="20">
        <v>8.4000000000000005E-2</v>
      </c>
      <c r="C26" s="20">
        <v>8.2000000000000003E-2</v>
      </c>
      <c r="D26" s="20">
        <v>8.2000000000000003E-2</v>
      </c>
      <c r="E26" s="120">
        <v>0.45100000000000001</v>
      </c>
      <c r="F26" s="20">
        <v>8.5000000000000006E-2</v>
      </c>
      <c r="G26" s="20">
        <v>8.5999999999999993E-2</v>
      </c>
      <c r="H26" s="20">
        <v>8.5999999999999993E-2</v>
      </c>
      <c r="I26" s="120">
        <v>0.45700000000000002</v>
      </c>
      <c r="J26" s="20">
        <v>8.5000000000000006E-2</v>
      </c>
      <c r="K26" s="20">
        <v>6.6000000000000003E-2</v>
      </c>
      <c r="L26" s="20">
        <v>9.4E-2</v>
      </c>
      <c r="M26" s="120">
        <v>0.47699999999999998</v>
      </c>
      <c r="N26" s="20">
        <v>0.10199999999999999</v>
      </c>
      <c r="O26" s="20">
        <v>9.8000000000000004E-2</v>
      </c>
      <c r="P26" s="20">
        <v>9.9000000000000005E-2</v>
      </c>
    </row>
    <row r="27" spans="1:16" x14ac:dyDescent="0.25">
      <c r="A27" s="3" t="s">
        <v>98</v>
      </c>
      <c r="B27" s="20">
        <v>0.05</v>
      </c>
      <c r="C27" s="20">
        <v>0.05</v>
      </c>
      <c r="D27" s="20">
        <v>0.05</v>
      </c>
      <c r="E27" s="120"/>
      <c r="F27" s="20">
        <v>0.05</v>
      </c>
      <c r="G27" s="20">
        <v>5.0999999999999997E-2</v>
      </c>
      <c r="H27" s="20">
        <v>0.05</v>
      </c>
      <c r="I27" s="120"/>
      <c r="J27" s="20">
        <v>4.7E-2</v>
      </c>
      <c r="K27" s="20">
        <v>3.9E-2</v>
      </c>
      <c r="L27" s="20">
        <v>5.3999999999999999E-2</v>
      </c>
      <c r="M27" s="120"/>
      <c r="N27" s="20">
        <v>5.7000000000000002E-2</v>
      </c>
      <c r="O27" s="20">
        <v>5.8000000000000003E-2</v>
      </c>
      <c r="P27" s="20">
        <v>5.8999999999999997E-2</v>
      </c>
    </row>
    <row r="28" spans="1:16" x14ac:dyDescent="0.25">
      <c r="A28" s="3" t="s">
        <v>99</v>
      </c>
      <c r="B28" s="20">
        <v>6.6000000000000003E-2</v>
      </c>
      <c r="C28" s="20">
        <v>6.7000000000000004E-2</v>
      </c>
      <c r="D28" s="20">
        <v>6.5000000000000002E-2</v>
      </c>
      <c r="E28" s="120"/>
      <c r="F28" s="20">
        <v>6.5000000000000002E-2</v>
      </c>
      <c r="G28" s="20">
        <v>6.4000000000000001E-2</v>
      </c>
      <c r="H28" s="20">
        <v>6.3E-2</v>
      </c>
      <c r="I28" s="120"/>
      <c r="J28" s="20">
        <v>6.0999999999999999E-2</v>
      </c>
      <c r="K28" s="20">
        <v>0.05</v>
      </c>
      <c r="L28" s="20">
        <v>6.6000000000000003E-2</v>
      </c>
      <c r="M28" s="120"/>
      <c r="N28" s="20">
        <v>6.8000000000000005E-2</v>
      </c>
      <c r="O28" s="20">
        <v>6.8000000000000005E-2</v>
      </c>
      <c r="P28" s="20">
        <v>6.9000000000000006E-2</v>
      </c>
    </row>
    <row r="29" spans="1:16" x14ac:dyDescent="0.25">
      <c r="A29" s="3" t="s">
        <v>100</v>
      </c>
      <c r="B29" s="20">
        <v>5.6000000000000001E-2</v>
      </c>
      <c r="C29" s="20">
        <v>5.7000000000000002E-2</v>
      </c>
      <c r="D29" s="20">
        <v>5.6000000000000001E-2</v>
      </c>
      <c r="E29" s="120"/>
      <c r="F29" s="20">
        <v>5.5E-2</v>
      </c>
      <c r="G29" s="20">
        <v>5.6000000000000001E-2</v>
      </c>
      <c r="H29" s="20">
        <v>5.5E-2</v>
      </c>
      <c r="I29" s="120"/>
      <c r="J29" s="20">
        <v>5.0999999999999997E-2</v>
      </c>
      <c r="K29" s="20">
        <v>4.3999999999999997E-2</v>
      </c>
      <c r="L29" s="20">
        <v>5.7000000000000002E-2</v>
      </c>
      <c r="M29" s="120"/>
      <c r="N29" s="20">
        <v>5.8999999999999997E-2</v>
      </c>
      <c r="O29" s="20">
        <v>5.8999999999999997E-2</v>
      </c>
      <c r="P29" s="20">
        <v>5.8000000000000003E-2</v>
      </c>
    </row>
    <row r="30" spans="1:16" x14ac:dyDescent="0.25">
      <c r="A30" s="3" t="s">
        <v>101</v>
      </c>
      <c r="B30" s="20">
        <v>8.1000000000000003E-2</v>
      </c>
      <c r="C30" s="20">
        <v>0.08</v>
      </c>
      <c r="D30" s="20">
        <v>7.9000000000000001E-2</v>
      </c>
      <c r="E30" s="120"/>
      <c r="F30" s="20">
        <v>8.3000000000000004E-2</v>
      </c>
      <c r="G30" s="20">
        <v>7.9000000000000001E-2</v>
      </c>
      <c r="H30" s="20">
        <v>8.5000000000000006E-2</v>
      </c>
      <c r="I30" s="120"/>
      <c r="J30" s="20">
        <v>0.107</v>
      </c>
      <c r="K30" s="20">
        <v>0.106</v>
      </c>
      <c r="L30" s="20">
        <v>8.3000000000000004E-2</v>
      </c>
      <c r="M30" s="120"/>
      <c r="N30" s="20">
        <v>0.08</v>
      </c>
      <c r="O30" s="20">
        <v>7.6999999999999999E-2</v>
      </c>
      <c r="P30" s="20">
        <v>7.4999999999999997E-2</v>
      </c>
    </row>
    <row r="31" spans="1:16" x14ac:dyDescent="0.25">
      <c r="A31" s="3" t="s">
        <v>102</v>
      </c>
      <c r="B31" s="20">
        <v>4.4999999999999998E-2</v>
      </c>
      <c r="C31" s="20">
        <v>4.2999999999999997E-2</v>
      </c>
      <c r="D31" s="20">
        <v>4.3999999999999997E-2</v>
      </c>
      <c r="E31" s="120"/>
      <c r="F31" s="20">
        <v>4.2999999999999997E-2</v>
      </c>
      <c r="G31" s="20">
        <v>4.3999999999999997E-2</v>
      </c>
      <c r="H31" s="20">
        <v>4.2999999999999997E-2</v>
      </c>
      <c r="I31" s="120"/>
      <c r="J31" s="20">
        <v>3.9E-2</v>
      </c>
      <c r="K31" s="20">
        <v>0.04</v>
      </c>
      <c r="L31" s="20">
        <v>4.5999999999999999E-2</v>
      </c>
      <c r="M31" s="120"/>
      <c r="N31" s="20">
        <v>4.5999999999999999E-2</v>
      </c>
      <c r="O31" s="20">
        <v>4.7E-2</v>
      </c>
      <c r="P31" s="20">
        <v>4.7E-2</v>
      </c>
    </row>
    <row r="32" spans="1:16" x14ac:dyDescent="0.25">
      <c r="A32" s="3" t="s">
        <v>103</v>
      </c>
      <c r="B32" s="20">
        <v>3.9E-2</v>
      </c>
      <c r="C32" s="20">
        <v>3.7999999999999999E-2</v>
      </c>
      <c r="D32" s="20">
        <v>3.6999999999999998E-2</v>
      </c>
      <c r="E32" s="120"/>
      <c r="F32" s="20">
        <v>3.7999999999999999E-2</v>
      </c>
      <c r="G32" s="20">
        <v>3.7999999999999999E-2</v>
      </c>
      <c r="H32" s="20">
        <v>3.7999999999999999E-2</v>
      </c>
      <c r="I32" s="120"/>
      <c r="J32" s="20">
        <v>3.5000000000000003E-2</v>
      </c>
      <c r="K32" s="20">
        <v>2.9000000000000001E-2</v>
      </c>
      <c r="L32" s="20">
        <v>4.1000000000000002E-2</v>
      </c>
      <c r="M32" s="120"/>
      <c r="N32" s="20">
        <v>4.2000000000000003E-2</v>
      </c>
      <c r="O32" s="20">
        <v>4.2000000000000003E-2</v>
      </c>
      <c r="P32" s="20">
        <v>4.1000000000000002E-2</v>
      </c>
    </row>
    <row r="33" spans="1:16" x14ac:dyDescent="0.25">
      <c r="A33" s="3" t="s">
        <v>38</v>
      </c>
      <c r="B33" s="78">
        <v>3.3000000000000002E-2</v>
      </c>
      <c r="C33" s="78">
        <v>3.4000000000000002E-2</v>
      </c>
      <c r="D33" s="78">
        <v>3.4000000000000002E-2</v>
      </c>
      <c r="E33" s="121"/>
      <c r="F33" s="78">
        <v>3.5999999999999997E-2</v>
      </c>
      <c r="G33" s="20">
        <v>3.5999999999999997E-2</v>
      </c>
      <c r="H33" s="20">
        <v>0.04</v>
      </c>
      <c r="I33" s="121"/>
      <c r="J33" s="20">
        <v>3.2000000000000001E-2</v>
      </c>
      <c r="K33" s="20">
        <v>2.5999999999999999E-2</v>
      </c>
      <c r="L33" s="20">
        <v>3.2000000000000001E-2</v>
      </c>
      <c r="M33" s="121"/>
      <c r="N33" s="20">
        <v>2.7E-2</v>
      </c>
      <c r="O33" s="20">
        <v>3.1E-2</v>
      </c>
      <c r="P33" s="20">
        <v>3.2000000000000001E-2</v>
      </c>
    </row>
    <row r="34" spans="1:16" ht="20" thickBot="1" x14ac:dyDescent="0.3">
      <c r="A34" s="8" t="s">
        <v>22</v>
      </c>
      <c r="B34" s="31">
        <f t="shared" ref="B34:P34" si="8">SUM(B24:B33)</f>
        <v>1</v>
      </c>
      <c r="C34" s="31">
        <f t="shared" si="8"/>
        <v>1</v>
      </c>
      <c r="D34" s="31">
        <f t="shared" si="8"/>
        <v>1</v>
      </c>
      <c r="E34" s="31">
        <f t="shared" si="8"/>
        <v>1</v>
      </c>
      <c r="F34" s="31">
        <f t="shared" si="8"/>
        <v>1.0000000000000002</v>
      </c>
      <c r="G34" s="31">
        <f t="shared" si="8"/>
        <v>1.0000000000000002</v>
      </c>
      <c r="H34" s="31">
        <f t="shared" si="8"/>
        <v>1.0000000000000002</v>
      </c>
      <c r="I34" s="31">
        <f t="shared" si="8"/>
        <v>1</v>
      </c>
      <c r="J34" s="31">
        <f t="shared" si="8"/>
        <v>1</v>
      </c>
      <c r="K34" s="31">
        <f t="shared" si="8"/>
        <v>1.0000000000000002</v>
      </c>
      <c r="L34" s="31">
        <f t="shared" si="8"/>
        <v>1.0000000000000002</v>
      </c>
      <c r="M34" s="31">
        <f t="shared" si="8"/>
        <v>1</v>
      </c>
      <c r="N34" s="31">
        <f t="shared" si="8"/>
        <v>1</v>
      </c>
      <c r="O34" s="31">
        <f t="shared" si="8"/>
        <v>1</v>
      </c>
      <c r="P34" s="31">
        <f t="shared" si="8"/>
        <v>1</v>
      </c>
    </row>
    <row r="35" spans="1:16" ht="20" thickTop="1" x14ac:dyDescent="0.25">
      <c r="A35" s="144" t="s">
        <v>221</v>
      </c>
      <c r="B35" s="144"/>
      <c r="C35" s="144"/>
      <c r="D35" s="144"/>
      <c r="E35" s="144"/>
      <c r="F35" s="144"/>
      <c r="G35" s="144"/>
      <c r="H35" s="144"/>
      <c r="I35" s="144"/>
      <c r="J35" s="144"/>
      <c r="K35" s="144"/>
      <c r="L35" s="144"/>
      <c r="M35" s="144"/>
      <c r="N35" s="144"/>
      <c r="O35" s="144"/>
      <c r="P35" s="144"/>
    </row>
    <row r="37" spans="1:16" x14ac:dyDescent="0.25">
      <c r="A37" s="8" t="s">
        <v>20</v>
      </c>
      <c r="B37" s="16">
        <f>'Operating Summary (Quarterly)'!B20</f>
        <v>0.45855525965379496</v>
      </c>
      <c r="C37" s="16">
        <f>'Operating Summary (Quarterly)'!C20</f>
        <v>0.46530979422017316</v>
      </c>
      <c r="D37" s="16">
        <f>'Operating Summary (Quarterly)'!D20</f>
        <v>0.4655243236899243</v>
      </c>
      <c r="E37" s="16">
        <f>'Operating Summary (Quarterly)'!E20</f>
        <v>0.46540018279148715</v>
      </c>
      <c r="F37" s="16">
        <f>'Operating Summary (Quarterly)'!F20</f>
        <v>0.46338952515763737</v>
      </c>
      <c r="G37" s="16">
        <f>'Operating Summary (Quarterly)'!G20</f>
        <v>0.46474762883862841</v>
      </c>
      <c r="H37" s="16">
        <f>'Operating Summary (Quarterly)'!H20</f>
        <v>0.45405786873676779</v>
      </c>
      <c r="I37" s="16">
        <f>'Operating Summary (Quarterly)'!I20</f>
        <v>0.4556701030927835</v>
      </c>
      <c r="J37" s="16">
        <f>'Operating Summary (Quarterly)'!J20</f>
        <v>0.45326540720300001</v>
      </c>
      <c r="K37" s="16">
        <f>'Operating Summary (Quarterly)'!K20</f>
        <v>0.44506295559973497</v>
      </c>
      <c r="L37" s="16">
        <f>'Operating Summary (Quarterly)'!L20</f>
        <v>0.46583760058522311</v>
      </c>
      <c r="M37" s="16">
        <f>'Operating Summary (Quarterly)'!M20</f>
        <v>0.4686349753308795</v>
      </c>
      <c r="N37" s="16">
        <f>'Operating Summary (Quarterly)'!N20</f>
        <v>0.47211949822347904</v>
      </c>
      <c r="O37" s="16">
        <f>'Operating Summary (Quarterly)'!O20</f>
        <v>0.46857643963753287</v>
      </c>
      <c r="P37" s="16">
        <f>'Operating Summary (Quarterly)'!P20</f>
        <v>0.47712518139463833</v>
      </c>
    </row>
    <row r="38" spans="1:16" x14ac:dyDescent="0.25">
      <c r="A38" s="8"/>
      <c r="B38" s="8"/>
      <c r="C38" s="8"/>
      <c r="D38" s="8"/>
      <c r="E38" s="8"/>
      <c r="F38" s="8"/>
      <c r="G38" s="8"/>
      <c r="H38" s="8"/>
      <c r="I38" s="8"/>
      <c r="J38" s="8"/>
      <c r="K38" s="8"/>
      <c r="L38" s="8"/>
      <c r="M38" s="8"/>
      <c r="N38" s="8"/>
      <c r="O38" s="8"/>
      <c r="P38" s="8"/>
    </row>
    <row r="47" spans="1:16" x14ac:dyDescent="0.25">
      <c r="B47" s="14"/>
      <c r="C47" s="14"/>
      <c r="D47" s="14"/>
      <c r="E47" s="14"/>
      <c r="F47" s="14"/>
      <c r="G47" s="14"/>
      <c r="H47" s="14"/>
      <c r="I47" s="14"/>
      <c r="J47" s="14"/>
      <c r="K47" s="14"/>
      <c r="L47" s="14"/>
      <c r="M47" s="14"/>
      <c r="N47" s="14"/>
      <c r="O47" s="14"/>
      <c r="P47" s="14"/>
    </row>
  </sheetData>
  <mergeCells count="8">
    <mergeCell ref="A35:P35"/>
    <mergeCell ref="I21:P21"/>
    <mergeCell ref="M8:P8"/>
    <mergeCell ref="L12:P14"/>
    <mergeCell ref="L17:P19"/>
    <mergeCell ref="E26:E33"/>
    <mergeCell ref="I26:I33"/>
    <mergeCell ref="M26:M33"/>
  </mergeCells>
  <pageMargins left="0.7" right="0.7" top="0.75" bottom="0.75" header="0.3" footer="0.3"/>
  <pageSetup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5D789-A2C0-5C47-927F-A2CD450B0578}">
  <sheetPr>
    <tabColor rgb="FFFFFF00"/>
  </sheetPr>
  <dimension ref="A1"/>
  <sheetViews>
    <sheetView zoomScale="80" zoomScaleNormal="80" workbookViewId="0">
      <selection activeCell="AI1" sqref="AI1"/>
    </sheetView>
  </sheetViews>
  <sheetFormatPr baseColWidth="10" defaultRowHeight="1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TERMS OF USE</vt:lpstr>
      <vt:lpstr>Balance Sheet (Annual)</vt:lpstr>
      <vt:lpstr>Operating Summary (Annual)</vt:lpstr>
      <vt:lpstr>Cash Flow Analysis (Annual)</vt:lpstr>
      <vt:lpstr>Key Statistics (Annual)</vt:lpstr>
      <vt:lpstr>Balance Sheet (Quarterly)</vt:lpstr>
      <vt:lpstr>Operating Summary (Quarterly)</vt:lpstr>
      <vt:lpstr>Key Statistics (Quarterly)</vt:lpstr>
      <vt:lpstr>Charts</vt:lpstr>
    </vt:vector>
  </TitlesOfParts>
  <Manager/>
  <Company>The Rational Walk 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Fastenal Company</dc:title>
  <dc:subject/>
  <dc:creator>The Rational Walk LLC</dc:creator>
  <cp:keywords/>
  <dc:description/>
  <cp:lastModifiedBy>The Rational Walk LLC</cp:lastModifiedBy>
  <cp:lastPrinted>2010-01-09T02:34:21Z</cp:lastPrinted>
  <dcterms:created xsi:type="dcterms:W3CDTF">2009-09-17T14:10:19Z</dcterms:created>
  <dcterms:modified xsi:type="dcterms:W3CDTF">2022-11-27T02:38:32Z</dcterms:modified>
  <cp:category/>
</cp:coreProperties>
</file>