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Users/ravi/Library/CloudStorage/OneDrive-Personal/Work Files/Company Research/Rational Reflections Write-Ups/DaVita/Analysis/"/>
    </mc:Choice>
  </mc:AlternateContent>
  <xr:revisionPtr revIDLastSave="0" documentId="13_ncr:1_{6D180796-374D-B344-96B9-9ED8C383CABF}" xr6:coauthVersionLast="47" xr6:coauthVersionMax="47" xr10:uidLastSave="{00000000-0000-0000-0000-000000000000}"/>
  <bookViews>
    <workbookView xWindow="20" yWindow="500" windowWidth="28360" windowHeight="16260" tabRatio="795" xr2:uid="{00000000-000D-0000-FFFF-FFFF00000000}"/>
  </bookViews>
  <sheets>
    <sheet name="TERMS OF USE" sheetId="17" r:id="rId1"/>
    <sheet name="Balance Sheet" sheetId="4" r:id="rId2"/>
    <sheet name="Operating Data" sheetId="5" r:id="rId3"/>
    <sheet name="Cash Flow Analysis" sheetId="7" r:id="rId4"/>
    <sheet name="Segment Data" sheetId="14" r:id="rId5"/>
    <sheet name="U.S. Dialysis Segment Data" sheetId="15" r:id="rId6"/>
    <sheet name="Ancillary Segment Data" sheetId="16" r:id="rId7"/>
    <sheet name="Statistics" sheetId="1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2" i="7" l="1"/>
  <c r="H103" i="7"/>
  <c r="H104" i="7"/>
  <c r="H101" i="7"/>
  <c r="C104" i="7"/>
  <c r="D104" i="7"/>
  <c r="E104" i="7"/>
  <c r="F104" i="7"/>
  <c r="G104" i="7"/>
  <c r="B104" i="7"/>
  <c r="C103" i="7"/>
  <c r="D103" i="7"/>
  <c r="E103" i="7"/>
  <c r="F103" i="7"/>
  <c r="G103" i="7"/>
  <c r="B103" i="7"/>
  <c r="C102" i="7"/>
  <c r="D102" i="7"/>
  <c r="E102" i="7"/>
  <c r="F102" i="7"/>
  <c r="G102" i="7"/>
  <c r="B102" i="7"/>
  <c r="B75" i="7"/>
  <c r="C101" i="7"/>
  <c r="D101" i="7"/>
  <c r="E101" i="7"/>
  <c r="F101" i="7"/>
  <c r="G101" i="7"/>
  <c r="B101" i="7"/>
  <c r="H69" i="7"/>
  <c r="I69" i="7"/>
  <c r="J69" i="7"/>
  <c r="K69" i="7"/>
  <c r="L69" i="7"/>
  <c r="M69" i="7"/>
  <c r="H71" i="7"/>
  <c r="I71" i="7"/>
  <c r="J71" i="7"/>
  <c r="K71" i="7"/>
  <c r="L71" i="7"/>
  <c r="M71" i="7"/>
  <c r="H73" i="7"/>
  <c r="I73" i="7"/>
  <c r="J73" i="7"/>
  <c r="K73" i="7"/>
  <c r="L73" i="7"/>
  <c r="M73" i="7"/>
  <c r="H74" i="7"/>
  <c r="I74" i="7"/>
  <c r="J74" i="7"/>
  <c r="K74" i="7"/>
  <c r="L74" i="7"/>
  <c r="M74" i="7"/>
  <c r="H75" i="7"/>
  <c r="I75" i="7"/>
  <c r="J75" i="7"/>
  <c r="K75" i="7"/>
  <c r="L75" i="7"/>
  <c r="M75" i="7"/>
  <c r="C94" i="7"/>
  <c r="D94" i="7"/>
  <c r="E94" i="7"/>
  <c r="F94" i="7"/>
  <c r="G94" i="7"/>
  <c r="B94" i="7"/>
  <c r="B64" i="4"/>
  <c r="B63" i="4"/>
  <c r="C36" i="14"/>
  <c r="D36" i="14"/>
  <c r="E36" i="14"/>
  <c r="F36" i="14"/>
  <c r="G36" i="14"/>
  <c r="H36" i="14"/>
  <c r="I36" i="14"/>
  <c r="J36" i="14"/>
  <c r="K36" i="14"/>
  <c r="L36" i="14"/>
  <c r="M36" i="14"/>
  <c r="N36" i="14"/>
  <c r="O36" i="14"/>
  <c r="P36" i="14"/>
  <c r="Q36" i="14"/>
  <c r="R36" i="14"/>
  <c r="S36" i="14"/>
  <c r="E15" i="16"/>
  <c r="F15" i="16"/>
  <c r="G15" i="16"/>
  <c r="H15" i="16"/>
  <c r="D15" i="16"/>
  <c r="C15" i="16"/>
  <c r="B15" i="16"/>
  <c r="C9" i="16"/>
  <c r="D9" i="16"/>
  <c r="E9" i="16"/>
  <c r="F9" i="16"/>
  <c r="G9" i="16"/>
  <c r="H9" i="16"/>
  <c r="B9" i="16"/>
  <c r="I62" i="14"/>
  <c r="J62" i="14"/>
  <c r="K62" i="14"/>
  <c r="L62" i="14"/>
  <c r="M62" i="14"/>
  <c r="B37" i="15"/>
  <c r="H37" i="15"/>
  <c r="I37" i="15"/>
  <c r="I40" i="15" s="1"/>
  <c r="I48" i="15" s="1"/>
  <c r="F37" i="15"/>
  <c r="G37" i="15"/>
  <c r="D37" i="15"/>
  <c r="E37" i="15"/>
  <c r="C37" i="15"/>
  <c r="D38" i="15"/>
  <c r="E38" i="15"/>
  <c r="F38" i="15"/>
  <c r="G38" i="15"/>
  <c r="H38" i="15"/>
  <c r="I38" i="15"/>
  <c r="D39" i="15"/>
  <c r="E39" i="15"/>
  <c r="F39" i="15"/>
  <c r="G39" i="15"/>
  <c r="H39" i="15"/>
  <c r="I39" i="15"/>
  <c r="C38" i="15"/>
  <c r="C39" i="15"/>
  <c r="B39" i="15"/>
  <c r="B38" i="15"/>
  <c r="H18" i="15"/>
  <c r="H19" i="15" s="1"/>
  <c r="C19" i="15"/>
  <c r="D19" i="15"/>
  <c r="E19" i="15"/>
  <c r="F19" i="15"/>
  <c r="G19" i="15"/>
  <c r="I19" i="15"/>
  <c r="B19" i="15"/>
  <c r="B46" i="15"/>
  <c r="C46" i="15"/>
  <c r="B52" i="15"/>
  <c r="C52" i="15"/>
  <c r="B54" i="15"/>
  <c r="C54" i="15"/>
  <c r="E54" i="15"/>
  <c r="F54" i="15"/>
  <c r="G54" i="15"/>
  <c r="H54" i="15"/>
  <c r="I54" i="15"/>
  <c r="E52" i="15"/>
  <c r="F52" i="15"/>
  <c r="G52" i="15"/>
  <c r="H52" i="15"/>
  <c r="I52" i="15"/>
  <c r="D52" i="15"/>
  <c r="E46" i="15"/>
  <c r="F46" i="15"/>
  <c r="G46" i="15"/>
  <c r="H46" i="15"/>
  <c r="I46" i="15"/>
  <c r="D54" i="15"/>
  <c r="D46" i="15"/>
  <c r="D45" i="15"/>
  <c r="E45" i="15"/>
  <c r="F45" i="15"/>
  <c r="G45" i="15"/>
  <c r="B12" i="13"/>
  <c r="C12" i="13"/>
  <c r="B24" i="13"/>
  <c r="C24" i="13"/>
  <c r="B40" i="15" l="1"/>
  <c r="B48" i="15" s="1"/>
  <c r="G40" i="15"/>
  <c r="G48" i="15" s="1"/>
  <c r="B56" i="15"/>
  <c r="I56" i="15"/>
  <c r="G56" i="15"/>
  <c r="G57" i="15" s="1"/>
  <c r="D40" i="15"/>
  <c r="C40" i="15"/>
  <c r="E40" i="15"/>
  <c r="H40" i="15"/>
  <c r="F40" i="15"/>
  <c r="F47" i="15"/>
  <c r="G47" i="15"/>
  <c r="G49" i="15" s="1"/>
  <c r="I53" i="15"/>
  <c r="I55" i="15" s="1"/>
  <c r="H53" i="15"/>
  <c r="H55" i="15" s="1"/>
  <c r="E47" i="15"/>
  <c r="C53" i="15"/>
  <c r="C55" i="15" s="1"/>
  <c r="D47" i="15"/>
  <c r="G53" i="15"/>
  <c r="G55" i="15" s="1"/>
  <c r="D53" i="15"/>
  <c r="D55" i="15" s="1"/>
  <c r="I45" i="15"/>
  <c r="I47" i="15" s="1"/>
  <c r="I49" i="15" s="1"/>
  <c r="B53" i="15"/>
  <c r="B55" i="15" s="1"/>
  <c r="H45" i="15"/>
  <c r="H47" i="15" s="1"/>
  <c r="B45" i="15"/>
  <c r="B47" i="15" s="1"/>
  <c r="B49" i="15" s="1"/>
  <c r="F53" i="15"/>
  <c r="F55" i="15" s="1"/>
  <c r="E53" i="15"/>
  <c r="E55" i="15" s="1"/>
  <c r="C45" i="15"/>
  <c r="C47" i="15" s="1"/>
  <c r="B25" i="13"/>
  <c r="B13" i="13"/>
  <c r="C10" i="15"/>
  <c r="C12" i="15" s="1"/>
  <c r="C21" i="15" s="1"/>
  <c r="D10" i="15"/>
  <c r="D12" i="15" s="1"/>
  <c r="D21" i="15" s="1"/>
  <c r="E10" i="15"/>
  <c r="E12" i="15" s="1"/>
  <c r="E21" i="15" s="1"/>
  <c r="F10" i="15"/>
  <c r="F12" i="15" s="1"/>
  <c r="F21" i="15" s="1"/>
  <c r="G10" i="15"/>
  <c r="G12" i="15" s="1"/>
  <c r="G21" i="15" s="1"/>
  <c r="H10" i="15"/>
  <c r="H12" i="15" s="1"/>
  <c r="H21" i="15" s="1"/>
  <c r="I10" i="15"/>
  <c r="I12" i="15" s="1"/>
  <c r="I21" i="15" s="1"/>
  <c r="B10" i="15"/>
  <c r="B12" i="15" s="1"/>
  <c r="B21" i="15" s="1"/>
  <c r="C40" i="14"/>
  <c r="G15" i="14"/>
  <c r="D10" i="14"/>
  <c r="D12" i="14" s="1"/>
  <c r="D15" i="14" s="1"/>
  <c r="D57" i="14" s="1"/>
  <c r="E10" i="14"/>
  <c r="E12" i="14" s="1"/>
  <c r="E15" i="14" s="1"/>
  <c r="F10" i="14"/>
  <c r="F12" i="14" s="1"/>
  <c r="F15" i="14" s="1"/>
  <c r="G10" i="14"/>
  <c r="G12" i="14" s="1"/>
  <c r="H10" i="14"/>
  <c r="H12" i="14" s="1"/>
  <c r="H15" i="14" s="1"/>
  <c r="I10" i="14"/>
  <c r="I12" i="14" s="1"/>
  <c r="I15" i="14" s="1"/>
  <c r="D22" i="14"/>
  <c r="E22" i="14"/>
  <c r="F22" i="14"/>
  <c r="G22" i="14"/>
  <c r="H22" i="14"/>
  <c r="I22" i="14"/>
  <c r="I61" i="14" s="1"/>
  <c r="I63" i="14" s="1"/>
  <c r="D28" i="14"/>
  <c r="D65" i="14" s="1"/>
  <c r="E28" i="14"/>
  <c r="E65" i="14" s="1"/>
  <c r="F28" i="14"/>
  <c r="F65" i="14" s="1"/>
  <c r="G28" i="14"/>
  <c r="G51" i="14" s="1"/>
  <c r="H28" i="14"/>
  <c r="I28" i="14"/>
  <c r="I51" i="14" s="1"/>
  <c r="D42" i="14"/>
  <c r="D46" i="14" s="1"/>
  <c r="E42" i="14"/>
  <c r="E46" i="14" s="1"/>
  <c r="D58" i="14"/>
  <c r="E58" i="14"/>
  <c r="E70" i="14" s="1"/>
  <c r="F58" i="14"/>
  <c r="F70" i="14" s="1"/>
  <c r="G58" i="14"/>
  <c r="G70" i="14" s="1"/>
  <c r="H58" i="14"/>
  <c r="H70" i="14" s="1"/>
  <c r="I58" i="14"/>
  <c r="D66" i="14"/>
  <c r="E66" i="14"/>
  <c r="F66" i="14"/>
  <c r="G66" i="14"/>
  <c r="H66" i="14"/>
  <c r="I66" i="14"/>
  <c r="S7" i="7"/>
  <c r="B73" i="7"/>
  <c r="F75" i="7"/>
  <c r="S14" i="7"/>
  <c r="S44" i="7"/>
  <c r="C69" i="7"/>
  <c r="D69" i="7"/>
  <c r="E69" i="7"/>
  <c r="F69" i="7"/>
  <c r="G69" i="7"/>
  <c r="C71" i="7"/>
  <c r="D71" i="7"/>
  <c r="E71" i="7"/>
  <c r="F71" i="7"/>
  <c r="G71" i="7"/>
  <c r="C73" i="7"/>
  <c r="D73" i="7"/>
  <c r="E73" i="7"/>
  <c r="F73" i="7"/>
  <c r="G73" i="7"/>
  <c r="C74" i="7"/>
  <c r="D74" i="7"/>
  <c r="E74" i="7"/>
  <c r="F74" i="7"/>
  <c r="G74" i="7"/>
  <c r="C75" i="7"/>
  <c r="D75" i="7"/>
  <c r="E75" i="7"/>
  <c r="G75" i="7"/>
  <c r="C59" i="7"/>
  <c r="D59" i="7"/>
  <c r="E59" i="7"/>
  <c r="F59" i="7"/>
  <c r="G59" i="7"/>
  <c r="H59" i="7"/>
  <c r="C47" i="7"/>
  <c r="D47" i="7"/>
  <c r="E47" i="7"/>
  <c r="F47" i="7"/>
  <c r="G47" i="7"/>
  <c r="H47" i="7"/>
  <c r="C33" i="7"/>
  <c r="C70" i="7" s="1"/>
  <c r="D33" i="7"/>
  <c r="D70" i="7" s="1"/>
  <c r="E33" i="7"/>
  <c r="E70" i="7" s="1"/>
  <c r="F33" i="7"/>
  <c r="F70" i="7" s="1"/>
  <c r="G33" i="7"/>
  <c r="G70" i="7" s="1"/>
  <c r="H33" i="7"/>
  <c r="H70" i="7" s="1"/>
  <c r="H72" i="7" s="1"/>
  <c r="H77" i="7" s="1"/>
  <c r="E24" i="13"/>
  <c r="F24" i="13"/>
  <c r="G24" i="13"/>
  <c r="H24" i="13"/>
  <c r="I24" i="13"/>
  <c r="J24" i="13"/>
  <c r="K24" i="13"/>
  <c r="L24" i="13"/>
  <c r="M24" i="13"/>
  <c r="D24" i="13"/>
  <c r="C25" i="13" s="1"/>
  <c r="D12" i="13"/>
  <c r="C13" i="13" s="1"/>
  <c r="E12" i="13"/>
  <c r="F12" i="13"/>
  <c r="G12" i="13"/>
  <c r="H12" i="13"/>
  <c r="I12" i="13"/>
  <c r="C72" i="7" l="1"/>
  <c r="D70" i="14"/>
  <c r="D69" i="14"/>
  <c r="D49" i="14"/>
  <c r="G65" i="14"/>
  <c r="G67" i="14" s="1"/>
  <c r="I57" i="15"/>
  <c r="B57" i="15"/>
  <c r="H48" i="15"/>
  <c r="H49" i="15" s="1"/>
  <c r="H56" i="15"/>
  <c r="H57" i="15" s="1"/>
  <c r="F48" i="15"/>
  <c r="F49" i="15" s="1"/>
  <c r="F56" i="15"/>
  <c r="F57" i="15" s="1"/>
  <c r="E48" i="15"/>
  <c r="E49" i="15" s="1"/>
  <c r="E56" i="15"/>
  <c r="E57" i="15" s="1"/>
  <c r="C48" i="15"/>
  <c r="C49" i="15" s="1"/>
  <c r="C56" i="15"/>
  <c r="C57" i="15" s="1"/>
  <c r="D48" i="15"/>
  <c r="D49" i="15" s="1"/>
  <c r="D56" i="15"/>
  <c r="D57" i="15" s="1"/>
  <c r="F59" i="15"/>
  <c r="G59" i="15"/>
  <c r="H59" i="15"/>
  <c r="C59" i="15"/>
  <c r="D59" i="15"/>
  <c r="I27" i="15"/>
  <c r="F24" i="15"/>
  <c r="E59" i="15"/>
  <c r="G24" i="15"/>
  <c r="C24" i="15"/>
  <c r="B27" i="15"/>
  <c r="I59" i="15"/>
  <c r="H24" i="15"/>
  <c r="F25" i="15"/>
  <c r="F35" i="15"/>
  <c r="F41" i="15" s="1"/>
  <c r="G35" i="15"/>
  <c r="G41" i="15" s="1"/>
  <c r="I35" i="15"/>
  <c r="I41" i="15" s="1"/>
  <c r="B35" i="15"/>
  <c r="B41" i="15" s="1"/>
  <c r="H35" i="15"/>
  <c r="H41" i="15" s="1"/>
  <c r="E27" i="15"/>
  <c r="E35" i="15"/>
  <c r="E41" i="15" s="1"/>
  <c r="D24" i="15"/>
  <c r="D35" i="15"/>
  <c r="D41" i="15" s="1"/>
  <c r="C35" i="15"/>
  <c r="C41" i="15" s="1"/>
  <c r="B59" i="15"/>
  <c r="D27" i="15"/>
  <c r="E26" i="15"/>
  <c r="D25" i="15"/>
  <c r="E24" i="15"/>
  <c r="F27" i="15"/>
  <c r="E25" i="15"/>
  <c r="I24" i="15"/>
  <c r="I25" i="15"/>
  <c r="F26" i="15"/>
  <c r="D26" i="15"/>
  <c r="C25" i="15"/>
  <c r="C26" i="15"/>
  <c r="C27" i="15"/>
  <c r="B24" i="15"/>
  <c r="B25" i="15"/>
  <c r="B26" i="15"/>
  <c r="I26" i="15"/>
  <c r="H25" i="15"/>
  <c r="H26" i="15"/>
  <c r="H27" i="15"/>
  <c r="G27" i="15"/>
  <c r="G26" i="15"/>
  <c r="G25" i="15"/>
  <c r="D51" i="14"/>
  <c r="F67" i="14"/>
  <c r="I70" i="14"/>
  <c r="I50" i="14"/>
  <c r="F51" i="14"/>
  <c r="E67" i="14"/>
  <c r="D67" i="14"/>
  <c r="E51" i="14"/>
  <c r="I65" i="14"/>
  <c r="I67" i="14" s="1"/>
  <c r="E49" i="14"/>
  <c r="E57" i="14"/>
  <c r="E69" i="14" s="1"/>
  <c r="E29" i="14"/>
  <c r="E31" i="14" s="1"/>
  <c r="E52" i="14" s="1"/>
  <c r="I29" i="14"/>
  <c r="I31" i="14" s="1"/>
  <c r="I52" i="14" s="1"/>
  <c r="G49" i="14"/>
  <c r="G57" i="14"/>
  <c r="G69" i="14" s="1"/>
  <c r="D29" i="14"/>
  <c r="D31" i="14" s="1"/>
  <c r="D52" i="14" s="1"/>
  <c r="D59" i="14"/>
  <c r="I49" i="14"/>
  <c r="I57" i="14"/>
  <c r="I59" i="14" s="1"/>
  <c r="F49" i="14"/>
  <c r="F57" i="14"/>
  <c r="F69" i="14" s="1"/>
  <c r="H49" i="14"/>
  <c r="H57" i="14"/>
  <c r="H29" i="14"/>
  <c r="H31" i="14" s="1"/>
  <c r="H52" i="14" s="1"/>
  <c r="G29" i="14"/>
  <c r="G31" i="14" s="1"/>
  <c r="G52" i="14" s="1"/>
  <c r="F29" i="14"/>
  <c r="F31" i="14" s="1"/>
  <c r="F52" i="14" s="1"/>
  <c r="H65" i="14"/>
  <c r="H67" i="14" s="1"/>
  <c r="H42" i="14"/>
  <c r="H46" i="14" s="1"/>
  <c r="G42" i="14"/>
  <c r="G46" i="14" s="1"/>
  <c r="I42" i="14"/>
  <c r="I46" i="14" s="1"/>
  <c r="H51" i="14"/>
  <c r="F42" i="14"/>
  <c r="F46" i="14" s="1"/>
  <c r="C77" i="7"/>
  <c r="E61" i="7"/>
  <c r="E63" i="7" s="1"/>
  <c r="E65" i="7" s="1"/>
  <c r="D72" i="7"/>
  <c r="D77" i="7" s="1"/>
  <c r="D61" i="7"/>
  <c r="D63" i="7" s="1"/>
  <c r="D65" i="7" s="1"/>
  <c r="C61" i="7"/>
  <c r="C63" i="7" s="1"/>
  <c r="C65" i="7" s="1"/>
  <c r="G72" i="7"/>
  <c r="G77" i="7" s="1"/>
  <c r="F72" i="7"/>
  <c r="F77" i="7" s="1"/>
  <c r="E72" i="7"/>
  <c r="E77" i="7" s="1"/>
  <c r="G61" i="7"/>
  <c r="G63" i="7" s="1"/>
  <c r="G65" i="7" s="1"/>
  <c r="F61" i="7"/>
  <c r="F63" i="7" s="1"/>
  <c r="F65" i="7" s="1"/>
  <c r="H61" i="7"/>
  <c r="H63" i="7" s="1"/>
  <c r="H65" i="7" s="1"/>
  <c r="D25" i="13"/>
  <c r="E25" i="13"/>
  <c r="I25" i="13"/>
  <c r="F13" i="13"/>
  <c r="E13" i="13"/>
  <c r="G13" i="13"/>
  <c r="H25" i="13"/>
  <c r="F25" i="13"/>
  <c r="G25" i="13"/>
  <c r="D13" i="13"/>
  <c r="H13" i="13"/>
  <c r="G18" i="5"/>
  <c r="H18" i="5"/>
  <c r="J41" i="5"/>
  <c r="D8" i="5"/>
  <c r="D11" i="5" s="1"/>
  <c r="E8" i="5"/>
  <c r="E11" i="5" s="1"/>
  <c r="F8" i="5"/>
  <c r="F11" i="5" s="1"/>
  <c r="G8" i="5"/>
  <c r="G11" i="5" s="1"/>
  <c r="H8" i="5"/>
  <c r="H11" i="5" s="1"/>
  <c r="I8" i="5"/>
  <c r="I11" i="5" s="1"/>
  <c r="D23" i="5"/>
  <c r="E23" i="5"/>
  <c r="F23" i="5"/>
  <c r="G23" i="5"/>
  <c r="H23" i="5"/>
  <c r="I23" i="5"/>
  <c r="B65" i="4"/>
  <c r="B62" i="4"/>
  <c r="C35" i="4"/>
  <c r="C42" i="4" s="1"/>
  <c r="D35" i="4"/>
  <c r="D42" i="4" s="1"/>
  <c r="E35" i="4"/>
  <c r="E42" i="4" s="1"/>
  <c r="F35" i="4"/>
  <c r="F42" i="4" s="1"/>
  <c r="G35" i="4"/>
  <c r="G42" i="4" s="1"/>
  <c r="H35" i="4"/>
  <c r="H42" i="4" s="1"/>
  <c r="I35" i="4"/>
  <c r="I42" i="4" s="1"/>
  <c r="J35" i="4"/>
  <c r="J42" i="4" s="1"/>
  <c r="K35" i="4"/>
  <c r="K42" i="4" s="1"/>
  <c r="L35" i="4"/>
  <c r="L42" i="4" s="1"/>
  <c r="M35" i="4"/>
  <c r="M42" i="4" s="1"/>
  <c r="N35" i="4"/>
  <c r="N42" i="4" s="1"/>
  <c r="O35" i="4"/>
  <c r="O42" i="4" s="1"/>
  <c r="P35" i="4"/>
  <c r="P42" i="4" s="1"/>
  <c r="Q35" i="4"/>
  <c r="Q42" i="4" s="1"/>
  <c r="R35" i="4"/>
  <c r="R42" i="4" s="1"/>
  <c r="B35" i="4"/>
  <c r="B42" i="4" s="1"/>
  <c r="C16" i="4"/>
  <c r="C24" i="4" s="1"/>
  <c r="D16" i="4"/>
  <c r="D24" i="4" s="1"/>
  <c r="E16" i="4"/>
  <c r="E24" i="4" s="1"/>
  <c r="F16" i="4"/>
  <c r="F24" i="4" s="1"/>
  <c r="G16" i="4"/>
  <c r="G24" i="4" s="1"/>
  <c r="H16" i="4"/>
  <c r="H24" i="4" s="1"/>
  <c r="I16" i="4"/>
  <c r="I24" i="4" s="1"/>
  <c r="J16" i="4"/>
  <c r="J24" i="4" s="1"/>
  <c r="K16" i="4"/>
  <c r="K24" i="4" s="1"/>
  <c r="L16" i="4"/>
  <c r="M16" i="4"/>
  <c r="M24" i="4" s="1"/>
  <c r="N16" i="4"/>
  <c r="O16" i="4"/>
  <c r="P16" i="4"/>
  <c r="P24" i="4" s="1"/>
  <c r="Q16" i="4"/>
  <c r="Q24" i="4" s="1"/>
  <c r="R16" i="4"/>
  <c r="R24" i="4" s="1"/>
  <c r="B16" i="4"/>
  <c r="B24" i="4" s="1"/>
  <c r="B50" i="4"/>
  <c r="B52" i="4" s="1"/>
  <c r="C50" i="4"/>
  <c r="C52" i="4" s="1"/>
  <c r="D50" i="4"/>
  <c r="D52" i="4" s="1"/>
  <c r="E50" i="4"/>
  <c r="E52" i="4" s="1"/>
  <c r="F50" i="4"/>
  <c r="F52" i="4" s="1"/>
  <c r="G50" i="4"/>
  <c r="G52" i="4" s="1"/>
  <c r="B74" i="7"/>
  <c r="B71" i="7"/>
  <c r="B69" i="7"/>
  <c r="P65" i="14"/>
  <c r="Q65" i="14"/>
  <c r="R65" i="14"/>
  <c r="S65" i="14"/>
  <c r="C66" i="14"/>
  <c r="J66" i="14"/>
  <c r="K66" i="14"/>
  <c r="L66" i="14"/>
  <c r="M66" i="14"/>
  <c r="N66" i="14"/>
  <c r="O66" i="14"/>
  <c r="P66" i="14"/>
  <c r="Q66" i="14"/>
  <c r="Q67" i="14" s="1"/>
  <c r="R66" i="14"/>
  <c r="S66" i="14"/>
  <c r="B66" i="14"/>
  <c r="P57" i="14"/>
  <c r="P69" i="14" s="1"/>
  <c r="Q57" i="14"/>
  <c r="Q69" i="14" s="1"/>
  <c r="R57" i="14"/>
  <c r="R69" i="14" s="1"/>
  <c r="S57" i="14"/>
  <c r="C58" i="14"/>
  <c r="C70" i="14" s="1"/>
  <c r="J58" i="14"/>
  <c r="K58" i="14"/>
  <c r="L58" i="14"/>
  <c r="M58" i="14"/>
  <c r="N58" i="14"/>
  <c r="N70" i="14" s="1"/>
  <c r="O58" i="14"/>
  <c r="P58" i="14"/>
  <c r="Q58" i="14"/>
  <c r="R58" i="14"/>
  <c r="S58" i="14"/>
  <c r="B58" i="14"/>
  <c r="S40" i="14"/>
  <c r="R40" i="14"/>
  <c r="Q40" i="14"/>
  <c r="P40" i="14"/>
  <c r="P51" i="14"/>
  <c r="Q51" i="14"/>
  <c r="R51" i="14"/>
  <c r="S51" i="14"/>
  <c r="C42" i="14"/>
  <c r="J42" i="14"/>
  <c r="O42" i="14"/>
  <c r="O46" i="14" s="1"/>
  <c r="B36" i="14"/>
  <c r="B42" i="14" s="1"/>
  <c r="C28" i="14"/>
  <c r="C51" i="14" s="1"/>
  <c r="J28" i="14"/>
  <c r="J51" i="14" s="1"/>
  <c r="K28" i="14"/>
  <c r="K65" i="14" s="1"/>
  <c r="L28" i="14"/>
  <c r="L65" i="14" s="1"/>
  <c r="M28" i="14"/>
  <c r="M51" i="14" s="1"/>
  <c r="N28" i="14"/>
  <c r="N51" i="14" s="1"/>
  <c r="O28" i="14"/>
  <c r="O51" i="14" s="1"/>
  <c r="B28" i="14"/>
  <c r="B51" i="14" s="1"/>
  <c r="C22" i="14"/>
  <c r="J22" i="14"/>
  <c r="K22" i="14"/>
  <c r="L22" i="14"/>
  <c r="M22" i="14"/>
  <c r="N22" i="14"/>
  <c r="O22" i="14"/>
  <c r="P22" i="14"/>
  <c r="Q22" i="14"/>
  <c r="R22" i="14"/>
  <c r="S22" i="14"/>
  <c r="B22" i="14"/>
  <c r="C10" i="14"/>
  <c r="C12" i="14" s="1"/>
  <c r="J10" i="14"/>
  <c r="J12" i="14" s="1"/>
  <c r="J15" i="14" s="1"/>
  <c r="K10" i="14"/>
  <c r="K12" i="14" s="1"/>
  <c r="L10" i="14"/>
  <c r="L12" i="14" s="1"/>
  <c r="M10" i="14"/>
  <c r="M12" i="14" s="1"/>
  <c r="N10" i="14"/>
  <c r="N12" i="14" s="1"/>
  <c r="O10" i="14"/>
  <c r="O12" i="14" s="1"/>
  <c r="B10" i="14"/>
  <c r="B12" i="14" s="1"/>
  <c r="J12" i="13"/>
  <c r="I13" i="13" s="1"/>
  <c r="K12" i="13"/>
  <c r="L12" i="13"/>
  <c r="M12" i="13"/>
  <c r="N12" i="13"/>
  <c r="O12" i="13"/>
  <c r="P12" i="13"/>
  <c r="Q12" i="13"/>
  <c r="R12" i="13"/>
  <c r="S12" i="13"/>
  <c r="S60" i="7"/>
  <c r="S50" i="7"/>
  <c r="S51" i="7"/>
  <c r="S52" i="7"/>
  <c r="B83" i="7" s="1"/>
  <c r="S53" i="7"/>
  <c r="S54" i="7"/>
  <c r="S55" i="7"/>
  <c r="S56" i="7"/>
  <c r="S57" i="7"/>
  <c r="S58" i="7"/>
  <c r="S49" i="7"/>
  <c r="S36" i="7"/>
  <c r="B82" i="7" s="1"/>
  <c r="S37" i="7"/>
  <c r="S38" i="7"/>
  <c r="S40" i="7"/>
  <c r="S41" i="7"/>
  <c r="S42" i="7"/>
  <c r="S43" i="7"/>
  <c r="S45" i="7"/>
  <c r="S35" i="7"/>
  <c r="S10" i="7"/>
  <c r="S11" i="7"/>
  <c r="S12" i="7"/>
  <c r="S13" i="7"/>
  <c r="S15" i="7"/>
  <c r="S16" i="7"/>
  <c r="S17" i="7"/>
  <c r="S18" i="7"/>
  <c r="S19" i="7"/>
  <c r="S20" i="7"/>
  <c r="S22" i="7"/>
  <c r="S23" i="7"/>
  <c r="S24" i="7"/>
  <c r="S25" i="7"/>
  <c r="S26" i="7"/>
  <c r="S27" i="7"/>
  <c r="S28" i="7"/>
  <c r="S29" i="7"/>
  <c r="S30" i="7"/>
  <c r="S31" i="7"/>
  <c r="S32" i="7"/>
  <c r="S9" i="7"/>
  <c r="R46" i="7"/>
  <c r="S46" i="7" s="1"/>
  <c r="R21" i="7"/>
  <c r="R33" i="7" s="1"/>
  <c r="R77" i="7" s="1"/>
  <c r="Q47" i="7"/>
  <c r="P47" i="7"/>
  <c r="O47" i="7"/>
  <c r="N47" i="7"/>
  <c r="M47" i="7"/>
  <c r="L47" i="7"/>
  <c r="K47" i="7"/>
  <c r="J47" i="7"/>
  <c r="I47" i="7"/>
  <c r="P21" i="7"/>
  <c r="P33" i="7" s="1"/>
  <c r="P77" i="7" s="1"/>
  <c r="Q21" i="7"/>
  <c r="Q33" i="7" s="1"/>
  <c r="Q77" i="7" s="1"/>
  <c r="I59" i="7"/>
  <c r="J59" i="7"/>
  <c r="K59" i="7"/>
  <c r="L59" i="7"/>
  <c r="M59" i="7"/>
  <c r="N59" i="7"/>
  <c r="O59" i="7"/>
  <c r="P59" i="7"/>
  <c r="Q59" i="7"/>
  <c r="R59" i="7"/>
  <c r="B59" i="7"/>
  <c r="I33" i="7"/>
  <c r="I70" i="7" s="1"/>
  <c r="I72" i="7" s="1"/>
  <c r="I77" i="7" s="1"/>
  <c r="J33" i="7"/>
  <c r="J70" i="7" s="1"/>
  <c r="J72" i="7" s="1"/>
  <c r="J77" i="7" s="1"/>
  <c r="K33" i="7"/>
  <c r="K70" i="7" s="1"/>
  <c r="K72" i="7" s="1"/>
  <c r="K77" i="7" s="1"/>
  <c r="L33" i="7"/>
  <c r="L70" i="7" s="1"/>
  <c r="L72" i="7" s="1"/>
  <c r="L77" i="7" s="1"/>
  <c r="M33" i="7"/>
  <c r="M70" i="7" s="1"/>
  <c r="M72" i="7" s="1"/>
  <c r="M77" i="7" s="1"/>
  <c r="N33" i="7"/>
  <c r="O33" i="7"/>
  <c r="O77" i="7" s="1"/>
  <c r="B33" i="7"/>
  <c r="B70" i="7" s="1"/>
  <c r="R41" i="5"/>
  <c r="S38" i="5"/>
  <c r="R38" i="5"/>
  <c r="Q38" i="5"/>
  <c r="P38" i="5"/>
  <c r="O38" i="5"/>
  <c r="C8" i="5"/>
  <c r="C11" i="5" s="1"/>
  <c r="J8" i="5"/>
  <c r="K8" i="5"/>
  <c r="L8" i="5"/>
  <c r="L11" i="5" s="1"/>
  <c r="M8" i="5"/>
  <c r="M11" i="5" s="1"/>
  <c r="N8" i="5"/>
  <c r="N11" i="5" s="1"/>
  <c r="N24" i="5" s="1"/>
  <c r="O8" i="5"/>
  <c r="O11" i="5" s="1"/>
  <c r="O24" i="5" s="1"/>
  <c r="O41" i="5" s="1"/>
  <c r="B8" i="5"/>
  <c r="B11" i="5" s="1"/>
  <c r="C23" i="5"/>
  <c r="J23" i="5"/>
  <c r="K23" i="5"/>
  <c r="L23" i="5"/>
  <c r="M23" i="5"/>
  <c r="N23" i="5"/>
  <c r="O23" i="5"/>
  <c r="P23" i="5"/>
  <c r="P24" i="5" s="1"/>
  <c r="P28" i="5" s="1"/>
  <c r="Q23" i="5"/>
  <c r="Q24" i="5" s="1"/>
  <c r="Q41" i="5" s="1"/>
  <c r="R23" i="5"/>
  <c r="R24" i="5" s="1"/>
  <c r="R28" i="5" s="1"/>
  <c r="S23" i="5"/>
  <c r="S24" i="5" s="1"/>
  <c r="S41" i="5" s="1"/>
  <c r="B23" i="5"/>
  <c r="J11" i="5"/>
  <c r="K11" i="5"/>
  <c r="R55" i="4"/>
  <c r="Q55" i="4"/>
  <c r="P55" i="4"/>
  <c r="O55" i="4"/>
  <c r="N55" i="4"/>
  <c r="M55" i="4"/>
  <c r="L24" i="4"/>
  <c r="N24" i="4"/>
  <c r="O24" i="4"/>
  <c r="I50" i="4"/>
  <c r="I52" i="4" s="1"/>
  <c r="J50" i="4"/>
  <c r="J52" i="4" s="1"/>
  <c r="K50" i="4"/>
  <c r="K56" i="4" s="1"/>
  <c r="L50" i="4"/>
  <c r="L57" i="4" s="1"/>
  <c r="M50" i="4"/>
  <c r="N50" i="4"/>
  <c r="O50" i="4"/>
  <c r="P50" i="4"/>
  <c r="Q50" i="4"/>
  <c r="R50" i="4"/>
  <c r="H50" i="4"/>
  <c r="H57" i="4" s="1"/>
  <c r="N69" i="7" l="1"/>
  <c r="B72" i="7"/>
  <c r="B77" i="7" s="1"/>
  <c r="N70" i="7"/>
  <c r="L50" i="14"/>
  <c r="L61" i="14"/>
  <c r="L63" i="14" s="1"/>
  <c r="K50" i="14"/>
  <c r="K61" i="14"/>
  <c r="K63" i="14" s="1"/>
  <c r="M50" i="14"/>
  <c r="M61" i="14"/>
  <c r="M63" i="14" s="1"/>
  <c r="J50" i="14"/>
  <c r="J61" i="14"/>
  <c r="J63" i="14" s="1"/>
  <c r="P67" i="14"/>
  <c r="O70" i="14"/>
  <c r="O15" i="14"/>
  <c r="O57" i="14" s="1"/>
  <c r="O59" i="14" s="1"/>
  <c r="L15" i="14"/>
  <c r="L29" i="14" s="1"/>
  <c r="L31" i="14" s="1"/>
  <c r="L52" i="14" s="1"/>
  <c r="K51" i="14"/>
  <c r="H69" i="14"/>
  <c r="H71" i="14" s="1"/>
  <c r="K15" i="14"/>
  <c r="K57" i="14" s="1"/>
  <c r="K69" i="14" s="1"/>
  <c r="R67" i="14"/>
  <c r="N15" i="14"/>
  <c r="N57" i="14" s="1"/>
  <c r="N59" i="14" s="1"/>
  <c r="G59" i="14"/>
  <c r="M15" i="14"/>
  <c r="M29" i="14" s="1"/>
  <c r="M31" i="14" s="1"/>
  <c r="M52" i="14" s="1"/>
  <c r="J65" i="14"/>
  <c r="J67" i="14" s="1"/>
  <c r="G28" i="15"/>
  <c r="E28" i="15"/>
  <c r="D28" i="15"/>
  <c r="F28" i="15"/>
  <c r="I28" i="15"/>
  <c r="C28" i="15"/>
  <c r="B28" i="15"/>
  <c r="H28" i="15"/>
  <c r="B70" i="14"/>
  <c r="C15" i="14"/>
  <c r="C57" i="14" s="1"/>
  <c r="B15" i="14"/>
  <c r="B57" i="14" s="1"/>
  <c r="S59" i="14"/>
  <c r="M70" i="14"/>
  <c r="L51" i="14"/>
  <c r="L70" i="14"/>
  <c r="D71" i="14"/>
  <c r="E59" i="14"/>
  <c r="I69" i="14"/>
  <c r="I71" i="14" s="1"/>
  <c r="E71" i="14"/>
  <c r="F71" i="14"/>
  <c r="G71" i="14"/>
  <c r="H59" i="14"/>
  <c r="F59" i="14"/>
  <c r="Q59" i="14"/>
  <c r="P59" i="14"/>
  <c r="R59" i="14"/>
  <c r="Q70" i="14"/>
  <c r="Q71" i="14" s="1"/>
  <c r="M65" i="14"/>
  <c r="M67" i="14" s="1"/>
  <c r="S42" i="14"/>
  <c r="S46" i="14" s="1"/>
  <c r="P70" i="14"/>
  <c r="P71" i="14" s="1"/>
  <c r="S69" i="14"/>
  <c r="S67" i="14"/>
  <c r="K67" i="14"/>
  <c r="B81" i="7"/>
  <c r="N71" i="7"/>
  <c r="N73" i="7"/>
  <c r="N74" i="7"/>
  <c r="N75" i="7"/>
  <c r="M13" i="13"/>
  <c r="J25" i="13"/>
  <c r="K25" i="13"/>
  <c r="P13" i="13"/>
  <c r="Q13" i="13"/>
  <c r="D24" i="5"/>
  <c r="D28" i="5" s="1"/>
  <c r="D30" i="5" s="1"/>
  <c r="D34" i="5" s="1"/>
  <c r="D36" i="5" s="1"/>
  <c r="E24" i="5"/>
  <c r="E41" i="5" s="1"/>
  <c r="H24" i="5"/>
  <c r="H28" i="5" s="1"/>
  <c r="H30" i="5" s="1"/>
  <c r="H34" i="5" s="1"/>
  <c r="H36" i="5" s="1"/>
  <c r="I24" i="5"/>
  <c r="I28" i="5" s="1"/>
  <c r="I30" i="5" s="1"/>
  <c r="I34" i="5" s="1"/>
  <c r="I36" i="5" s="1"/>
  <c r="G24" i="5"/>
  <c r="G41" i="5" s="1"/>
  <c r="F24" i="5"/>
  <c r="F41" i="5" s="1"/>
  <c r="H41" i="5"/>
  <c r="N28" i="5"/>
  <c r="N41" i="5"/>
  <c r="C24" i="5"/>
  <c r="C41" i="5" s="1"/>
  <c r="B57" i="4"/>
  <c r="O56" i="4"/>
  <c r="F56" i="4"/>
  <c r="F53" i="4"/>
  <c r="F54" i="4" s="1"/>
  <c r="G56" i="4"/>
  <c r="B56" i="4"/>
  <c r="G53" i="4"/>
  <c r="G54" i="4" s="1"/>
  <c r="D53" i="4"/>
  <c r="D54" i="4" s="1"/>
  <c r="E53" i="4"/>
  <c r="E54" i="4" s="1"/>
  <c r="D56" i="4"/>
  <c r="E56" i="4"/>
  <c r="C56" i="4"/>
  <c r="D57" i="4"/>
  <c r="B53" i="4"/>
  <c r="B54" i="4" s="1"/>
  <c r="C53" i="4"/>
  <c r="C54" i="4" s="1"/>
  <c r="C57" i="4"/>
  <c r="G57" i="4"/>
  <c r="F57" i="4"/>
  <c r="E57" i="4"/>
  <c r="R56" i="4"/>
  <c r="J57" i="4"/>
  <c r="I57" i="4"/>
  <c r="J53" i="4"/>
  <c r="J54" i="4" s="1"/>
  <c r="N65" i="14"/>
  <c r="N67" i="14" s="1"/>
  <c r="M56" i="4"/>
  <c r="O13" i="13"/>
  <c r="N13" i="13"/>
  <c r="B46" i="14"/>
  <c r="S70" i="14"/>
  <c r="K70" i="14"/>
  <c r="N42" i="14"/>
  <c r="N46" i="14" s="1"/>
  <c r="R70" i="14"/>
  <c r="R71" i="14" s="1"/>
  <c r="J70" i="14"/>
  <c r="J29" i="14"/>
  <c r="J31" i="14" s="1"/>
  <c r="J52" i="14" s="1"/>
  <c r="R42" i="14"/>
  <c r="R46" i="14" s="1"/>
  <c r="J57" i="14"/>
  <c r="P41" i="5"/>
  <c r="K13" i="13"/>
  <c r="L25" i="13"/>
  <c r="Q42" i="14"/>
  <c r="Q46" i="14" s="1"/>
  <c r="C46" i="14"/>
  <c r="L42" i="14"/>
  <c r="L46" i="14" s="1"/>
  <c r="C65" i="14"/>
  <c r="C67" i="14" s="1"/>
  <c r="S21" i="7"/>
  <c r="S33" i="7" s="1"/>
  <c r="S59" i="7"/>
  <c r="L13" i="13"/>
  <c r="J46" i="14"/>
  <c r="M42" i="14"/>
  <c r="M46" i="14" s="1"/>
  <c r="Q56" i="4"/>
  <c r="P56" i="4"/>
  <c r="I56" i="4"/>
  <c r="R13" i="13"/>
  <c r="P42" i="14"/>
  <c r="P46" i="14" s="1"/>
  <c r="K42" i="14"/>
  <c r="K46" i="14" s="1"/>
  <c r="J56" i="4"/>
  <c r="R47" i="7"/>
  <c r="R61" i="7" s="1"/>
  <c r="R63" i="7" s="1"/>
  <c r="R65" i="7" s="1"/>
  <c r="B65" i="14"/>
  <c r="B67" i="14" s="1"/>
  <c r="L67" i="14"/>
  <c r="O65" i="14"/>
  <c r="O67" i="14" s="1"/>
  <c r="S49" i="14"/>
  <c r="S29" i="14"/>
  <c r="S31" i="14" s="1"/>
  <c r="S52" i="14" s="1"/>
  <c r="Q49" i="14"/>
  <c r="Q29" i="14"/>
  <c r="Q31" i="14" s="1"/>
  <c r="Q52" i="14" s="1"/>
  <c r="R49" i="14"/>
  <c r="R29" i="14"/>
  <c r="R31" i="14" s="1"/>
  <c r="R52" i="14" s="1"/>
  <c r="J49" i="14"/>
  <c r="O29" i="14"/>
  <c r="O31" i="14" s="1"/>
  <c r="O52" i="14" s="1"/>
  <c r="N29" i="14"/>
  <c r="N31" i="14" s="1"/>
  <c r="N52" i="14" s="1"/>
  <c r="B29" i="14"/>
  <c r="B31" i="14" s="1"/>
  <c r="B52" i="14" s="1"/>
  <c r="J13" i="13"/>
  <c r="P61" i="7"/>
  <c r="P63" i="7" s="1"/>
  <c r="P65" i="7" s="1"/>
  <c r="Q61" i="7"/>
  <c r="Q63" i="7" s="1"/>
  <c r="Q65" i="7" s="1"/>
  <c r="N61" i="7"/>
  <c r="N63" i="7" s="1"/>
  <c r="N65" i="7" s="1"/>
  <c r="O61" i="7"/>
  <c r="O63" i="7" s="1"/>
  <c r="O65" i="7" s="1"/>
  <c r="M61" i="7"/>
  <c r="M63" i="7" s="1"/>
  <c r="M65" i="7" s="1"/>
  <c r="L61" i="7"/>
  <c r="L63" i="7" s="1"/>
  <c r="L65" i="7" s="1"/>
  <c r="J61" i="7"/>
  <c r="J63" i="7" s="1"/>
  <c r="J65" i="7" s="1"/>
  <c r="K61" i="7"/>
  <c r="K63" i="7" s="1"/>
  <c r="K65" i="7" s="1"/>
  <c r="I61" i="7"/>
  <c r="I63" i="7" s="1"/>
  <c r="I65" i="7" s="1"/>
  <c r="L24" i="5"/>
  <c r="K24" i="5"/>
  <c r="K41" i="5" s="1"/>
  <c r="J24" i="5"/>
  <c r="R30" i="5"/>
  <c r="R34" i="5" s="1"/>
  <c r="R36" i="5" s="1"/>
  <c r="P30" i="5"/>
  <c r="P34" i="5" s="1"/>
  <c r="P36" i="5" s="1"/>
  <c r="S28" i="5"/>
  <c r="S30" i="5" s="1"/>
  <c r="S34" i="5" s="1"/>
  <c r="S36" i="5" s="1"/>
  <c r="Q28" i="5"/>
  <c r="Q30" i="5" s="1"/>
  <c r="Q34" i="5" s="1"/>
  <c r="Q36" i="5" s="1"/>
  <c r="O28" i="5"/>
  <c r="O30" i="5" s="1"/>
  <c r="O34" i="5" s="1"/>
  <c r="O36" i="5" s="1"/>
  <c r="M24" i="5"/>
  <c r="M41" i="5" s="1"/>
  <c r="N30" i="5"/>
  <c r="N34" i="5" s="1"/>
  <c r="N36" i="5" s="1"/>
  <c r="J28" i="5"/>
  <c r="J30" i="5" s="1"/>
  <c r="J34" i="5" s="1"/>
  <c r="J36" i="5" s="1"/>
  <c r="B24" i="5"/>
  <c r="B41" i="5" s="1"/>
  <c r="R57" i="4"/>
  <c r="R52" i="4"/>
  <c r="R53" i="4"/>
  <c r="R54" i="4" s="1"/>
  <c r="Q52" i="4"/>
  <c r="Q57" i="4"/>
  <c r="Q53" i="4"/>
  <c r="Q54" i="4" s="1"/>
  <c r="P57" i="4"/>
  <c r="P52" i="4"/>
  <c r="P53" i="4"/>
  <c r="P54" i="4" s="1"/>
  <c r="O52" i="4"/>
  <c r="O57" i="4"/>
  <c r="O53" i="4"/>
  <c r="O54" i="4" s="1"/>
  <c r="N56" i="4"/>
  <c r="N57" i="4"/>
  <c r="N52" i="4"/>
  <c r="N53" i="4"/>
  <c r="N54" i="4" s="1"/>
  <c r="M52" i="4"/>
  <c r="M57" i="4"/>
  <c r="M53" i="4"/>
  <c r="M54" i="4" s="1"/>
  <c r="L53" i="4"/>
  <c r="L54" i="4" s="1"/>
  <c r="L52" i="4"/>
  <c r="L56" i="4"/>
  <c r="K52" i="4"/>
  <c r="K57" i="4"/>
  <c r="K53" i="4"/>
  <c r="K54" i="4" s="1"/>
  <c r="H53" i="4"/>
  <c r="H54" i="4" s="1"/>
  <c r="H56" i="4"/>
  <c r="H52" i="4"/>
  <c r="I53" i="4"/>
  <c r="I54" i="4" s="1"/>
  <c r="P49" i="14"/>
  <c r="P29" i="14"/>
  <c r="P31" i="14" s="1"/>
  <c r="P52" i="14" s="1"/>
  <c r="B80" i="7" l="1"/>
  <c r="B49" i="14"/>
  <c r="C29" i="14"/>
  <c r="C31" i="14" s="1"/>
  <c r="C52" i="14" s="1"/>
  <c r="L57" i="14"/>
  <c r="L69" i="14" s="1"/>
  <c r="L71" i="14" s="1"/>
  <c r="L49" i="14"/>
  <c r="K29" i="14"/>
  <c r="K31" i="14" s="1"/>
  <c r="K52" i="14" s="1"/>
  <c r="M57" i="14"/>
  <c r="K49" i="14"/>
  <c r="M49" i="14"/>
  <c r="N49" i="14"/>
  <c r="O49" i="14"/>
  <c r="C49" i="14"/>
  <c r="C69" i="14"/>
  <c r="C71" i="14" s="1"/>
  <c r="C59" i="14"/>
  <c r="B69" i="14"/>
  <c r="B71" i="14" s="1"/>
  <c r="B59" i="14"/>
  <c r="S71" i="14"/>
  <c r="B28" i="5"/>
  <c r="B30" i="5" s="1"/>
  <c r="B34" i="5" s="1"/>
  <c r="B36" i="5" s="1"/>
  <c r="B39" i="5" s="1"/>
  <c r="C28" i="5"/>
  <c r="C30" i="5" s="1"/>
  <c r="C34" i="5" s="1"/>
  <c r="C36" i="5" s="1"/>
  <c r="C42" i="5" s="1"/>
  <c r="D41" i="5"/>
  <c r="E28" i="5"/>
  <c r="E30" i="5" s="1"/>
  <c r="E34" i="5" s="1"/>
  <c r="E36" i="5" s="1"/>
  <c r="E39" i="5" s="1"/>
  <c r="F28" i="5"/>
  <c r="F30" i="5" s="1"/>
  <c r="F34" i="5" s="1"/>
  <c r="F36" i="5" s="1"/>
  <c r="F39" i="5" s="1"/>
  <c r="G28" i="5"/>
  <c r="G30" i="5" s="1"/>
  <c r="G34" i="5" s="1"/>
  <c r="G36" i="5" s="1"/>
  <c r="G42" i="5" s="1"/>
  <c r="I41" i="5"/>
  <c r="I42" i="5"/>
  <c r="I39" i="5"/>
  <c r="D39" i="5"/>
  <c r="D42" i="5"/>
  <c r="H42" i="5"/>
  <c r="H39" i="5"/>
  <c r="N69" i="14"/>
  <c r="N71" i="14" s="1"/>
  <c r="Q39" i="5"/>
  <c r="Q42" i="5"/>
  <c r="S39" i="5"/>
  <c r="S42" i="5"/>
  <c r="P39" i="5"/>
  <c r="P42" i="5"/>
  <c r="J69" i="14"/>
  <c r="J71" i="14" s="1"/>
  <c r="K71" i="14"/>
  <c r="O39" i="5"/>
  <c r="O42" i="5"/>
  <c r="S77" i="7"/>
  <c r="J39" i="5"/>
  <c r="J42" i="5"/>
  <c r="K28" i="5"/>
  <c r="K30" i="5" s="1"/>
  <c r="K34" i="5" s="1"/>
  <c r="K36" i="5" s="1"/>
  <c r="R39" i="5"/>
  <c r="R42" i="5"/>
  <c r="J59" i="14"/>
  <c r="M28" i="5"/>
  <c r="M30" i="5" s="1"/>
  <c r="M34" i="5" s="1"/>
  <c r="M36" i="5" s="1"/>
  <c r="O69" i="14"/>
  <c r="O71" i="14" s="1"/>
  <c r="N39" i="5"/>
  <c r="N42" i="5"/>
  <c r="L28" i="5"/>
  <c r="L30" i="5" s="1"/>
  <c r="L34" i="5" s="1"/>
  <c r="L36" i="5" s="1"/>
  <c r="L41" i="5"/>
  <c r="K59" i="14"/>
  <c r="N72" i="7"/>
  <c r="N77" i="7" s="1"/>
  <c r="L59" i="14" l="1"/>
  <c r="M59" i="14"/>
  <c r="M69" i="14"/>
  <c r="M71" i="14" s="1"/>
  <c r="C39" i="5"/>
  <c r="B42" i="5"/>
  <c r="E42" i="5"/>
  <c r="F42" i="5"/>
  <c r="G39" i="5"/>
  <c r="L39" i="5"/>
  <c r="L42" i="5"/>
  <c r="M39" i="5"/>
  <c r="M42" i="5"/>
  <c r="K39" i="5"/>
  <c r="K42" i="5"/>
  <c r="S39" i="7"/>
  <c r="S47" i="7" s="1"/>
  <c r="S61" i="7" s="1"/>
  <c r="S63" i="7" s="1"/>
  <c r="S65" i="7" s="1"/>
  <c r="B47" i="7"/>
  <c r="B61" i="7" s="1"/>
  <c r="B63" i="7" s="1"/>
  <c r="B6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Ravi Nagarajan</author>
  </authors>
  <commentList>
    <comment ref="H64" authorId="0" shapeId="0" xr:uid="{668AEF98-C372-134D-BDCB-1462EB0A9114}">
      <text>
        <r>
          <rPr>
            <sz val="10"/>
            <color rgb="FF000000"/>
            <rFont val="Tahoma"/>
            <family val="2"/>
          </rPr>
          <t xml:space="preserve">Cash at beginning of 2016  is for continuing operations only vs. cash at end of 2015 which included cash of the discontinued operations (HCP). Restated figures for cash flow for 2016 taken from 2018 10-K.
</t>
        </r>
      </text>
    </comment>
  </commentList>
</comments>
</file>

<file path=xl/sharedStrings.xml><?xml version="1.0" encoding="utf-8"?>
<sst xmlns="http://schemas.openxmlformats.org/spreadsheetml/2006/main" count="406" uniqueCount="327">
  <si>
    <t>In Thousands, unless otherwise specified</t>
  </si>
  <si>
    <t>Source: 10-K and 10-Q Reports</t>
  </si>
  <si>
    <t>Book value per share</t>
  </si>
  <si>
    <t>Fiscal Years Ended</t>
  </si>
  <si>
    <t xml:space="preserve">Source: 10-K Reports </t>
  </si>
  <si>
    <t xml:space="preserve">  Common stock</t>
  </si>
  <si>
    <t>Shares outstanding</t>
  </si>
  <si>
    <t>Net income</t>
  </si>
  <si>
    <t>Figures in thousands</t>
  </si>
  <si>
    <t xml:space="preserve">  Retained earnings</t>
  </si>
  <si>
    <t>Cash flows from operating activities:</t>
  </si>
  <si>
    <t>Cash flows from investing activities:</t>
  </si>
  <si>
    <t>Cash flows from financing activities:</t>
  </si>
  <si>
    <t>Intangible assets, net</t>
  </si>
  <si>
    <t>Goodwill</t>
  </si>
  <si>
    <t>TOTAL ASSETS</t>
  </si>
  <si>
    <t xml:space="preserve">  Additional paid-in capital</t>
  </si>
  <si>
    <t xml:space="preserve">  Treasury stock</t>
  </si>
  <si>
    <t>Income tax expense</t>
  </si>
  <si>
    <t>Weighted average shares outstanding, diluted</t>
  </si>
  <si>
    <t>Fiscal Years Ended December 31</t>
  </si>
  <si>
    <t>Free cash flow</t>
  </si>
  <si>
    <t>Net debt issued</t>
  </si>
  <si>
    <t>Acquisitions</t>
  </si>
  <si>
    <t>Repurchases</t>
  </si>
  <si>
    <t>FCF as % of net income</t>
  </si>
  <si>
    <t>Years Ended December 31</t>
  </si>
  <si>
    <t>Net margin</t>
  </si>
  <si>
    <t>Operating margin</t>
  </si>
  <si>
    <t>DaVita - Balance Sheets</t>
  </si>
  <si>
    <t>DaVita - Operating Data</t>
  </si>
  <si>
    <t xml:space="preserve">DaVita - Cash Flow Analysis </t>
  </si>
  <si>
    <t>DaVita - Selected Statistics</t>
  </si>
  <si>
    <t>Cash and cash equivalents</t>
  </si>
  <si>
    <t>Short-term investments</t>
  </si>
  <si>
    <t>Accounts receivable, net of allowances</t>
  </si>
  <si>
    <t>Inventories</t>
  </si>
  <si>
    <t>Other receivables</t>
  </si>
  <si>
    <t>Income tax receivable</t>
  </si>
  <si>
    <t xml:space="preserve">  Total current assets</t>
  </si>
  <si>
    <t>Property and equipment, net</t>
  </si>
  <si>
    <t>Equity investments</t>
  </si>
  <si>
    <t>Long-term investments</t>
  </si>
  <si>
    <t>Other long-term assets</t>
  </si>
  <si>
    <t>ASSETS:</t>
  </si>
  <si>
    <t>LIABILITIES AND EQUITY:</t>
  </si>
  <si>
    <t>Accounts payable</t>
  </si>
  <si>
    <t>Other liabilities</t>
  </si>
  <si>
    <t>Accrued compensation and benefits</t>
  </si>
  <si>
    <t>Medical payables</t>
  </si>
  <si>
    <t>Current portion of long-term debt</t>
  </si>
  <si>
    <t xml:space="preserve">  Total current liabilities</t>
  </si>
  <si>
    <t>Long-term debt</t>
  </si>
  <si>
    <t>Other long-term liabilities</t>
  </si>
  <si>
    <t>Deferred income taxes</t>
  </si>
  <si>
    <t>Total Liabilites</t>
  </si>
  <si>
    <t>Noncontrolling interests subject to put provisions</t>
  </si>
  <si>
    <t>Equity:</t>
  </si>
  <si>
    <t xml:space="preserve">  Accumulated other comprehensive income (loss)</t>
  </si>
  <si>
    <t xml:space="preserve">    Total DaVita HealthCare Partners shareholders' equity</t>
  </si>
  <si>
    <t xml:space="preserve">  Noncontrolling interests not subject to put provision</t>
  </si>
  <si>
    <t>Total Equity</t>
  </si>
  <si>
    <t>TOTAL LIABILITIES AND SHAREHOLDERS' EQUITY</t>
  </si>
  <si>
    <t xml:space="preserve">Tangible book value per share </t>
  </si>
  <si>
    <t>Income taxes payable</t>
  </si>
  <si>
    <t>Loss contingency reserve</t>
  </si>
  <si>
    <t>Alliance and product supply agreement, net</t>
  </si>
  <si>
    <t>Patient service revenues</t>
  </si>
  <si>
    <t>Less:  Provision for uncollectible accounts</t>
  </si>
  <si>
    <t>Net Patient service revenues</t>
  </si>
  <si>
    <t>Capitated revenues</t>
  </si>
  <si>
    <t>Other revenues</t>
  </si>
  <si>
    <t>Total net revenues</t>
  </si>
  <si>
    <t>Operating expesnes and charges:</t>
  </si>
  <si>
    <t xml:space="preserve">  Patient care costs and other costs</t>
  </si>
  <si>
    <t xml:space="preserve">  General and administrative</t>
  </si>
  <si>
    <t xml:space="preserve">  Depreciation and amortization</t>
  </si>
  <si>
    <t xml:space="preserve">  Provision for uncollectible accounts</t>
  </si>
  <si>
    <t xml:space="preserve">  Settlement charge and loss contingency accrual</t>
  </si>
  <si>
    <t xml:space="preserve">  Contingent earn-out obligation adjustment</t>
  </si>
  <si>
    <t>Total operating expesnes and charges</t>
  </si>
  <si>
    <t xml:space="preserve">  Equity investment income</t>
  </si>
  <si>
    <t>Operating income</t>
  </si>
  <si>
    <t>Debt expense</t>
  </si>
  <si>
    <t>Debt redemption and refinancing charges</t>
  </si>
  <si>
    <t>Other income, net</t>
  </si>
  <si>
    <t>Income from continuing operations before income taxes</t>
  </si>
  <si>
    <t xml:space="preserve">Income from continuing operations  </t>
  </si>
  <si>
    <t>Discontinued operations:</t>
  </si>
  <si>
    <t xml:space="preserve">  Loss from operations of discontinued operations, net of tax</t>
  </si>
  <si>
    <t xml:space="preserve">  Less: net income attributable to noncontrolling interests</t>
  </si>
  <si>
    <t>Net income attributable to DaVita HealthCare Partners</t>
  </si>
  <si>
    <t>Net income per share, diluted</t>
  </si>
  <si>
    <t xml:space="preserve">  Gain (loss) on disposal of discontinued operations, net of tax</t>
  </si>
  <si>
    <t>Not broken down</t>
  </si>
  <si>
    <t xml:space="preserve">  Valuation gain on alliance and product supply agreement</t>
  </si>
  <si>
    <t xml:space="preserve">  Net income</t>
  </si>
  <si>
    <t xml:space="preserve">  Adjustments to reconcile net income to cash provided by operating activities:</t>
  </si>
  <si>
    <t xml:space="preserve">    Settlement charge and loss contingency accrual</t>
  </si>
  <si>
    <t xml:space="preserve">    Depreciation and amortization</t>
  </si>
  <si>
    <t xml:space="preserve">    Goodwill and other intangible asset impairment charges</t>
  </si>
  <si>
    <t xml:space="preserve">    Debt redemption and refinancing charges</t>
  </si>
  <si>
    <t xml:space="preserve">    Stock-based compensation expense</t>
  </si>
  <si>
    <t xml:space="preserve">    Tax benefits from stock award exercises</t>
  </si>
  <si>
    <t xml:space="preserve">    Excess tax benefits from stock award exercises</t>
  </si>
  <si>
    <t xml:space="preserve">    Deferred income taxes</t>
  </si>
  <si>
    <t xml:space="preserve">    Equity investment income, net</t>
  </si>
  <si>
    <t xml:space="preserve">    Other non-cash charges</t>
  </si>
  <si>
    <t xml:space="preserve">    Accounts receivable</t>
  </si>
  <si>
    <t xml:space="preserve">    Inventories</t>
  </si>
  <si>
    <t xml:space="preserve">    Other receivables and other current assets</t>
  </si>
  <si>
    <t xml:space="preserve">    Other long-term assets</t>
  </si>
  <si>
    <t xml:space="preserve">    Accounts payable</t>
  </si>
  <si>
    <t xml:space="preserve">    Accrued compensation and benefits</t>
  </si>
  <si>
    <t xml:space="preserve">    Other current liabilities</t>
  </si>
  <si>
    <t xml:space="preserve">    Settlement payments</t>
  </si>
  <si>
    <t xml:space="preserve">    Income taxes</t>
  </si>
  <si>
    <t xml:space="preserve">    Other long-term liabilities</t>
  </si>
  <si>
    <t>Net cash provided by operating activities</t>
  </si>
  <si>
    <t xml:space="preserve">  Additions of property and equipment</t>
  </si>
  <si>
    <t xml:space="preserve">  Acquisitions</t>
  </si>
  <si>
    <t xml:space="preserve">  Proceeds from asset and business sales</t>
  </si>
  <si>
    <t xml:space="preserve">  Purchase of investments available-for-sale</t>
  </si>
  <si>
    <t xml:space="preserve">  Purchase of investments held-to-maturity</t>
  </si>
  <si>
    <t xml:space="preserve">  Proceeds from sale of investments available-for-sale</t>
  </si>
  <si>
    <t xml:space="preserve">  Proceeds from investments held-to-maturity</t>
  </si>
  <si>
    <t xml:space="preserve">  Purchase of intangible assets</t>
  </si>
  <si>
    <t xml:space="preserve">  Purchase of equity investments</t>
  </si>
  <si>
    <t xml:space="preserve">  Distributions received on equity investments</t>
  </si>
  <si>
    <t>Net cash used in investing activities:</t>
  </si>
  <si>
    <t xml:space="preserve">  Borrowings</t>
  </si>
  <si>
    <t xml:space="preserve">  Payments on long-term debt and other financing costs</t>
  </si>
  <si>
    <t xml:space="preserve">  Deferred financing and debt redemption and refinancing costs</t>
  </si>
  <si>
    <t xml:space="preserve">  Purchase of treasury stock</t>
  </si>
  <si>
    <t xml:space="preserve">  Distributions to noncontrolling interests</t>
  </si>
  <si>
    <t xml:space="preserve">  Stock award exercises and other share issuances, net</t>
  </si>
  <si>
    <t xml:space="preserve">  Excess tax benefits from stock award exercises</t>
  </si>
  <si>
    <t xml:space="preserve">  Contributions from noncontrolling interests</t>
  </si>
  <si>
    <t xml:space="preserve">  Proceeds from sales of additional noncontrolling interests</t>
  </si>
  <si>
    <t xml:space="preserve">  Purchases of noncontrolling interests</t>
  </si>
  <si>
    <t>Effect of exchange rate changes on cash and cash equivalents</t>
  </si>
  <si>
    <t>Net increase in cash and cash equivalents</t>
  </si>
  <si>
    <t>Cash and cash equivalents, beginning of year</t>
  </si>
  <si>
    <t>Cash and cash equivalents, end of year</t>
  </si>
  <si>
    <t xml:space="preserve">    Gain on sales of business interests, net</t>
  </si>
  <si>
    <t xml:space="preserve">    Valuation gain on alliance and product supply agreement</t>
  </si>
  <si>
    <t xml:space="preserve">  Other investment activity</t>
  </si>
  <si>
    <t xml:space="preserve">  Changes in op assets &amp; liabilities, net of effect of acquisitions/divestitures:</t>
  </si>
  <si>
    <t>Net cash provided by (used) in financing activities</t>
  </si>
  <si>
    <t>U.S. dialysis centers:</t>
  </si>
  <si>
    <t>Number of centers at beginning of year</t>
  </si>
  <si>
    <t>Acquired centers</t>
  </si>
  <si>
    <t>Developed centers</t>
  </si>
  <si>
    <t>Net change in centers w/mgmt and admin service agreements</t>
  </si>
  <si>
    <t>Closed centers</t>
  </si>
  <si>
    <t>Closed centers (majorify of patients trsf/retained)</t>
  </si>
  <si>
    <t>Sold and closed centers (patients not retained)</t>
  </si>
  <si>
    <t>Number of centers at end of year</t>
  </si>
  <si>
    <t>Change in number of centers y-y</t>
  </si>
  <si>
    <t>International dialysis centers:</t>
  </si>
  <si>
    <t>Developed and hospital operated centers</t>
  </si>
  <si>
    <t>Managed centers, net</t>
  </si>
  <si>
    <t>Segment revenues:</t>
  </si>
  <si>
    <t xml:space="preserve">    Patient service revenues</t>
  </si>
  <si>
    <t xml:space="preserve">      External sources</t>
  </si>
  <si>
    <t xml:space="preserve">        Total dialysis and related lab services revenues</t>
  </si>
  <si>
    <t xml:space="preserve">        Less: Provision for uncollectible accounts</t>
  </si>
  <si>
    <t xml:space="preserve">        Net dialysis and related lab services patient service revenues</t>
  </si>
  <si>
    <t xml:space="preserve">        Other revenues</t>
  </si>
  <si>
    <t xml:space="preserve">      Capitated revenues</t>
  </si>
  <si>
    <t xml:space="preserve">      Net patient service revenues</t>
  </si>
  <si>
    <t xml:space="preserve">      Other revenues</t>
  </si>
  <si>
    <t xml:space="preserve">    Net patient services revenues</t>
  </si>
  <si>
    <t xml:space="preserve">    Capitated revenues</t>
  </si>
  <si>
    <t xml:space="preserve">    Other external sources</t>
  </si>
  <si>
    <t xml:space="preserve">    Intersegment revenues</t>
  </si>
  <si>
    <t xml:space="preserve">      Total ancillary services and strategic initiatives revenues</t>
  </si>
  <si>
    <t xml:space="preserve">      Total net segment revenues</t>
  </si>
  <si>
    <t xml:space="preserve">      Consolidated net revenues</t>
  </si>
  <si>
    <t>Segment operating margin (loss):</t>
  </si>
  <si>
    <t xml:space="preserve">  U.S. dialysis and related lab services</t>
  </si>
  <si>
    <t xml:space="preserve">  Other - Ancillary services and strategic initiatives</t>
  </si>
  <si>
    <t xml:space="preserve">    Total segment margin</t>
  </si>
  <si>
    <t xml:space="preserve">Reconciliation of segment operating margin to consolidated income from </t>
  </si>
  <si>
    <t xml:space="preserve">  Consolidated operating income</t>
  </si>
  <si>
    <t xml:space="preserve">  Debt expense</t>
  </si>
  <si>
    <t xml:space="preserve">  Debt refinancing and redemption charges</t>
  </si>
  <si>
    <t xml:space="preserve">  Other income</t>
  </si>
  <si>
    <t xml:space="preserve">    Consolidated income from continuing operations before income taxes</t>
  </si>
  <si>
    <t>Operating margins:</t>
  </si>
  <si>
    <t xml:space="preserve">  U.S. dialysis</t>
  </si>
  <si>
    <t xml:space="preserve">  Other - Ancillary services</t>
  </si>
  <si>
    <t xml:space="preserve">  Total segment margin</t>
  </si>
  <si>
    <t xml:space="preserve">  Transaction expenses</t>
  </si>
  <si>
    <t>n/a</t>
  </si>
  <si>
    <t xml:space="preserve">  Corporate administrative support and other</t>
  </si>
  <si>
    <t>DaVita - Segment Reporting</t>
  </si>
  <si>
    <t>SUMMARY</t>
  </si>
  <si>
    <t>U.S. dialysis and related lab services</t>
  </si>
  <si>
    <t xml:space="preserve">  Net revenues</t>
  </si>
  <si>
    <t xml:space="preserve">  Operating profit</t>
  </si>
  <si>
    <t xml:space="preserve">  Operating margin</t>
  </si>
  <si>
    <t>Healthcare Partners (HCP)</t>
  </si>
  <si>
    <t>Other - Ancillary services and strategic initiatives</t>
  </si>
  <si>
    <t>Totals:</t>
  </si>
  <si>
    <t xml:space="preserve">  Total segment revenues</t>
  </si>
  <si>
    <t xml:space="preserve">      Intersegment revenues</t>
  </si>
  <si>
    <t xml:space="preserve">      Intersegment capitated and other revenues</t>
  </si>
  <si>
    <t xml:space="preserve">      Elimination of intersegment revenues</t>
  </si>
  <si>
    <t xml:space="preserve">  Total segment operating profit</t>
  </si>
  <si>
    <t>Cash flows from operating activities</t>
  </si>
  <si>
    <t>Capital expenditures</t>
  </si>
  <si>
    <t>Cash used for acquisitions</t>
  </si>
  <si>
    <t>Cash used for repurchases</t>
  </si>
  <si>
    <t>Total</t>
  </si>
  <si>
    <t xml:space="preserve">  Value of equity</t>
  </si>
  <si>
    <t xml:space="preserve">  Debt outstanding</t>
  </si>
  <si>
    <t xml:space="preserve">  Less cash on hand</t>
  </si>
  <si>
    <t xml:space="preserve">  Enterprise value</t>
  </si>
  <si>
    <t>Updated 5/11/2022</t>
  </si>
  <si>
    <t>Prepaid and other current assets</t>
  </si>
  <si>
    <t>Current assets held for sale</t>
  </si>
  <si>
    <t>Current liabilities held for sale</t>
  </si>
  <si>
    <t>Long term liabilities held for sale</t>
  </si>
  <si>
    <t>Restricted cash and equivalents</t>
  </si>
  <si>
    <t>Operating lease right-of-use assets</t>
  </si>
  <si>
    <t>Current portion of operating lease liabilities</t>
  </si>
  <si>
    <t>Long-term operating lease liabilities</t>
  </si>
  <si>
    <t>Three Months Ended</t>
  </si>
  <si>
    <t>In Thousands, except Share data</t>
  </si>
  <si>
    <t xml:space="preserve">  Gains on changes in ownership interests, net</t>
  </si>
  <si>
    <t xml:space="preserve">  Goodwill and other impairment charges</t>
  </si>
  <si>
    <r>
      <t xml:space="preserve">  </t>
    </r>
    <r>
      <rPr>
        <b/>
        <sz val="14"/>
        <color theme="1"/>
        <rFont val="Calibri"/>
        <family val="2"/>
        <scheme val="minor"/>
      </rPr>
      <t>U.S. dialysis and related lab services</t>
    </r>
  </si>
  <si>
    <r>
      <t xml:space="preserve">  </t>
    </r>
    <r>
      <rPr>
        <b/>
        <sz val="14"/>
        <color theme="1"/>
        <rFont val="Calibri"/>
        <family val="2"/>
        <scheme val="minor"/>
      </rPr>
      <t>Other - Ancillary services and strategic initiatives</t>
    </r>
  </si>
  <si>
    <t>Net change in APAC JV operated centers</t>
  </si>
  <si>
    <t>Deconsolidated centers due to formation of APAC JV</t>
  </si>
  <si>
    <t>Sold and closed centers</t>
  </si>
  <si>
    <t>3 ME</t>
  </si>
  <si>
    <t xml:space="preserve">  Proceeds from sale of equity investments</t>
  </si>
  <si>
    <t xml:space="preserve">    Valuation adjustment on disposal group</t>
  </si>
  <si>
    <t>Less: Net increase (decrease) in cash equivalents from discontinued operations</t>
  </si>
  <si>
    <t>Net increase (decrease) in cash equivalents from continuing operations</t>
  </si>
  <si>
    <t>Selected items:  2006 to Q1 2022</t>
  </si>
  <si>
    <t>Updated 5/12/2022</t>
  </si>
  <si>
    <t>3 Months Ended March 31</t>
  </si>
  <si>
    <t>Continuing operations before income taxes:</t>
  </si>
  <si>
    <t xml:space="preserve">  DaVita Medical Group (Formerly known as HCP)</t>
  </si>
  <si>
    <t xml:space="preserve">  DMG (Formerly HCP)</t>
  </si>
  <si>
    <t xml:space="preserve">    DMG revenues</t>
  </si>
  <si>
    <t xml:space="preserve">        Total net DMG revenues</t>
  </si>
  <si>
    <t xml:space="preserve">  DMG</t>
  </si>
  <si>
    <t xml:space="preserve">        Intersegment revenues</t>
  </si>
  <si>
    <t>Number of patients served - U.S.</t>
  </si>
  <si>
    <t>At the end of 2019, 492,096 individuals were receiving in-center HD, up 1.7% from 2018 and 34.5% from 2009 (Figure 1.6). There were 12,243 patients performing home HD at year’s end, an increase of 20.1% over the preceding year. The number of individuals receiving PD increased to 62,275, representing 8.5% growth in a single year. (Source: USRDS 2021 annual report)</t>
  </si>
  <si>
    <t>U.S Dialysis Treatments by modality:</t>
  </si>
  <si>
    <t xml:space="preserve">  Outpatient hemodialysis</t>
  </si>
  <si>
    <t xml:space="preserve">  Home-based dialysis</t>
  </si>
  <si>
    <t xml:space="preserve">  Hospital inpatient hemodialysis</t>
  </si>
  <si>
    <t>U.S Dialysis Revenue by modality:</t>
  </si>
  <si>
    <t>Total employees</t>
  </si>
  <si>
    <t xml:space="preserve">  Dialysis treatments</t>
  </si>
  <si>
    <t xml:space="preserve">  Average treatments per day</t>
  </si>
  <si>
    <t xml:space="preserve">  Treatment days</t>
  </si>
  <si>
    <t>Updated 5/18/2022</t>
  </si>
  <si>
    <t xml:space="preserve">  Medicare and Medicare Advantage</t>
  </si>
  <si>
    <t xml:space="preserve">  Medicaid and Managed Medicaid</t>
  </si>
  <si>
    <t xml:space="preserve">  Other government </t>
  </si>
  <si>
    <t xml:space="preserve">  Commercial</t>
  </si>
  <si>
    <t>Total patient service revenue</t>
  </si>
  <si>
    <t>U.S. Dialysis Treatment Volume Statistics</t>
  </si>
  <si>
    <t>Quarters Ended</t>
  </si>
  <si>
    <t>Implied avg patient service revenue per treatment paid by government</t>
  </si>
  <si>
    <t>Ratio of implied revenue per patient paid by commercial vs. government</t>
  </si>
  <si>
    <t>DaVita - U.S. Dialysis Segment</t>
  </si>
  <si>
    <t>Operating expenses and charges:</t>
  </si>
  <si>
    <t xml:space="preserve">  Patient care costs</t>
  </si>
  <si>
    <t xml:space="preserve">  Other</t>
  </si>
  <si>
    <t>Other revenue</t>
  </si>
  <si>
    <t>Revenue</t>
  </si>
  <si>
    <t xml:space="preserve">    Total patient service revenue</t>
  </si>
  <si>
    <t>Total Segment Revenue</t>
  </si>
  <si>
    <t>Total Segment operating expenses and charges</t>
  </si>
  <si>
    <t>Patient service revenue (% of total)</t>
  </si>
  <si>
    <t>Expenses per treatment:</t>
  </si>
  <si>
    <t xml:space="preserve">    Total expenses per treatment</t>
  </si>
  <si>
    <t xml:space="preserve">  Percentage of patients receiving government paid care</t>
  </si>
  <si>
    <t xml:space="preserve">  Implied number of treatments paid by government</t>
  </si>
  <si>
    <t xml:space="preserve">  Total government revenue (in thousands)</t>
  </si>
  <si>
    <t>Economics of patients receiving government-paid care:</t>
  </si>
  <si>
    <t>Economics of patients receiving commercial-paid care:</t>
  </si>
  <si>
    <t xml:space="preserve">  Percentage of patients receiving commercial paid care</t>
  </si>
  <si>
    <t xml:space="preserve">  Implied number of treatments paid by commercial payors</t>
  </si>
  <si>
    <t xml:space="preserve">  Total commercial revenue (in thousands)</t>
  </si>
  <si>
    <t>Implied avg patient service revenue per treatment paid by commercial</t>
  </si>
  <si>
    <t>Total expenses per treatment</t>
  </si>
  <si>
    <t xml:space="preserve">Average patient service revenue per treatment  </t>
  </si>
  <si>
    <t>Figures in thousands except per-treatment figures</t>
  </si>
  <si>
    <t>Average patient service margin per treatment</t>
  </si>
  <si>
    <t>Average patient service margin per treatment (government-paid)</t>
  </si>
  <si>
    <t>Average patient service margin per treatment (commercial-paid)</t>
  </si>
  <si>
    <t>Updated 5/20/2022</t>
  </si>
  <si>
    <t>DaVita - Ancillary Services Segment</t>
  </si>
  <si>
    <t xml:space="preserve">  International</t>
  </si>
  <si>
    <t>Operating (loss) income:</t>
  </si>
  <si>
    <t>Total ancillary servcies revenue</t>
  </si>
  <si>
    <t>Total ancillary services loss</t>
  </si>
  <si>
    <t xml:space="preserve">  Integrated kidney care</t>
  </si>
  <si>
    <t xml:space="preserve">  Other U.S. Ancillary</t>
  </si>
  <si>
    <t>Enterprise value at 5/20/2022</t>
  </si>
  <si>
    <t xml:space="preserve">  Share price at 5/20/2022</t>
  </si>
  <si>
    <t xml:space="preserve">Figures in millions </t>
  </si>
  <si>
    <t>Management's Calculation of Free Cash Flow (figures in millions)</t>
  </si>
  <si>
    <t>Adjustments to reconcile net cash provided by continuing operations to free cash flow from continuing operations:</t>
  </si>
  <si>
    <t xml:space="preserve">  Distributions to non-controlling interests</t>
  </si>
  <si>
    <t xml:space="preserve">  Contributions from non-controlling interests</t>
  </si>
  <si>
    <t xml:space="preserve">  Expenditures for routine maintenance and information technology</t>
  </si>
  <si>
    <t xml:space="preserve">  Expenditures for development</t>
  </si>
  <si>
    <t xml:space="preserve">  Proceeds from sale of self-developed properties</t>
  </si>
  <si>
    <t>Q4 2018 press release for 2017 and 2018: https://investors.davita.com/2019-02-13-DaVita-Inc-4th-Quarter-2018-Results</t>
  </si>
  <si>
    <t>Sources: 10Q for QE 3/31/22 and 10-Ks for 2019-2021</t>
  </si>
  <si>
    <t>Proceeds from asset and business sales</t>
  </si>
  <si>
    <t>Net debt issued (retired)</t>
  </si>
  <si>
    <t>Q1 2022</t>
  </si>
  <si>
    <t>TOTAL</t>
  </si>
  <si>
    <t>Management's free cash flow estimate</t>
  </si>
  <si>
    <t>Figures in millions</t>
  </si>
  <si>
    <t>2006 - Q1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</si>
</sst>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11"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rgb="FF000000"/>
      <name val="Tahoma"/>
      <family val="2"/>
    </font>
    <font>
      <b/>
      <sz val="1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s>
  <borders count="13">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double">
        <color indexed="64"/>
      </left>
      <right/>
      <top/>
      <bottom/>
      <diagonal/>
    </border>
    <border>
      <left/>
      <right style="double">
        <color auto="1"/>
      </right>
      <top/>
      <bottom/>
      <diagonal/>
    </border>
    <border>
      <left/>
      <right style="double">
        <color auto="1"/>
      </right>
      <top style="thin">
        <color indexed="64"/>
      </top>
      <bottom/>
      <diagonal/>
    </border>
    <border>
      <left/>
      <right style="double">
        <color auto="1"/>
      </right>
      <top style="thin">
        <color indexed="64"/>
      </top>
      <bottom style="double">
        <color indexed="64"/>
      </bottom>
      <diagonal/>
    </border>
    <border>
      <left/>
      <right style="double">
        <color auto="1"/>
      </right>
      <top/>
      <bottom style="thin">
        <color indexed="64"/>
      </bottom>
      <diagonal/>
    </border>
    <border>
      <left/>
      <right style="double">
        <color indexed="64"/>
      </right>
      <top style="double">
        <color indexed="64"/>
      </top>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128">
    <xf numFmtId="0" fontId="0" fillId="0" borderId="0" xfId="0"/>
    <xf numFmtId="0" fontId="5" fillId="2" borderId="0" xfId="0" applyFont="1" applyFill="1" applyAlignment="1">
      <alignment vertical="center"/>
    </xf>
    <xf numFmtId="0" fontId="6" fillId="0" borderId="0" xfId="0" applyFont="1"/>
    <xf numFmtId="0" fontId="5" fillId="0" borderId="0" xfId="0" applyFont="1" applyAlignment="1">
      <alignment vertical="center"/>
    </xf>
    <xf numFmtId="0" fontId="7" fillId="0" borderId="0" xfId="0" applyFont="1" applyAlignment="1">
      <alignment horizontal="left" vertical="center"/>
    </xf>
    <xf numFmtId="0" fontId="5" fillId="3" borderId="3" xfId="0" applyFont="1" applyFill="1" applyBorder="1" applyAlignment="1">
      <alignment horizontal="left" vertical="center"/>
    </xf>
    <xf numFmtId="14" fontId="5" fillId="3" borderId="3" xfId="0" applyNumberFormat="1" applyFont="1" applyFill="1" applyBorder="1" applyAlignment="1">
      <alignment horizontal="center" vertical="center"/>
    </xf>
    <xf numFmtId="14" fontId="5" fillId="2" borderId="3" xfId="0" applyNumberFormat="1" applyFont="1" applyFill="1" applyBorder="1" applyAlignment="1">
      <alignment horizontal="center" vertical="center"/>
    </xf>
    <xf numFmtId="0" fontId="5" fillId="0" borderId="0" xfId="0" applyFont="1" applyAlignment="1">
      <alignment horizontal="left" vertical="center"/>
    </xf>
    <xf numFmtId="164" fontId="5" fillId="0" borderId="0" xfId="1" applyNumberFormat="1" applyFont="1" applyFill="1" applyBorder="1" applyAlignment="1">
      <alignment horizontal="center" vertical="center"/>
    </xf>
    <xf numFmtId="164" fontId="6" fillId="0" borderId="0" xfId="1" applyNumberFormat="1" applyFont="1" applyAlignment="1"/>
    <xf numFmtId="164" fontId="6" fillId="0" borderId="1" xfId="1" applyNumberFormat="1" applyFont="1" applyBorder="1" applyAlignment="1"/>
    <xf numFmtId="0" fontId="5" fillId="0" borderId="0" xfId="0" applyFont="1"/>
    <xf numFmtId="164" fontId="5" fillId="0" borderId="2" xfId="1" applyNumberFormat="1" applyFont="1" applyBorder="1" applyAlignment="1"/>
    <xf numFmtId="164" fontId="5" fillId="0" borderId="1" xfId="1" applyNumberFormat="1" applyFont="1" applyBorder="1" applyAlignment="1"/>
    <xf numFmtId="43" fontId="6" fillId="0" borderId="0" xfId="1" applyFont="1" applyAlignment="1"/>
    <xf numFmtId="164" fontId="6" fillId="0" borderId="0" xfId="1" applyNumberFormat="1" applyFont="1" applyBorder="1" applyAlignment="1"/>
    <xf numFmtId="164" fontId="5" fillId="0" borderId="0" xfId="1" applyNumberFormat="1" applyFont="1" applyAlignment="1"/>
    <xf numFmtId="0" fontId="6" fillId="0" borderId="0" xfId="0" applyFont="1" applyAlignment="1">
      <alignment horizontal="left"/>
    </xf>
    <xf numFmtId="0" fontId="5" fillId="3" borderId="0" xfId="0" applyFont="1" applyFill="1" applyAlignment="1">
      <alignment horizontal="left" vertical="center"/>
    </xf>
    <xf numFmtId="0" fontId="6" fillId="3" borderId="0" xfId="0" applyFont="1" applyFill="1" applyAlignment="1">
      <alignment horizontal="left"/>
    </xf>
    <xf numFmtId="14" fontId="5" fillId="3" borderId="0" xfId="0" applyNumberFormat="1" applyFont="1" applyFill="1" applyAlignment="1">
      <alignment horizontal="center"/>
    </xf>
    <xf numFmtId="14" fontId="5" fillId="3" borderId="5" xfId="0" applyNumberFormat="1" applyFont="1" applyFill="1" applyBorder="1" applyAlignment="1">
      <alignment horizontal="center"/>
    </xf>
    <xf numFmtId="164" fontId="6" fillId="0" borderId="0" xfId="1" applyNumberFormat="1" applyFont="1" applyAlignment="1">
      <alignment horizontal="left"/>
    </xf>
    <xf numFmtId="164" fontId="6" fillId="0" borderId="5" xfId="1" applyNumberFormat="1" applyFont="1" applyBorder="1" applyAlignment="1">
      <alignment horizontal="left"/>
    </xf>
    <xf numFmtId="164" fontId="6" fillId="0" borderId="1" xfId="1" applyNumberFormat="1" applyFont="1" applyBorder="1" applyAlignment="1">
      <alignment horizontal="left"/>
    </xf>
    <xf numFmtId="164" fontId="6" fillId="0" borderId="6" xfId="1" applyNumberFormat="1" applyFont="1" applyBorder="1" applyAlignment="1">
      <alignment horizontal="left"/>
    </xf>
    <xf numFmtId="0" fontId="5" fillId="0" borderId="0" xfId="0" applyFont="1" applyAlignment="1">
      <alignment horizontal="left"/>
    </xf>
    <xf numFmtId="164" fontId="5" fillId="0" borderId="1" xfId="1" applyNumberFormat="1" applyFont="1" applyBorder="1" applyAlignment="1">
      <alignment horizontal="left"/>
    </xf>
    <xf numFmtId="164" fontId="5" fillId="0" borderId="6" xfId="1" applyNumberFormat="1" applyFont="1" applyBorder="1" applyAlignment="1">
      <alignment horizontal="left"/>
    </xf>
    <xf numFmtId="164" fontId="5" fillId="0" borderId="2" xfId="1" applyNumberFormat="1" applyFont="1" applyBorder="1" applyAlignment="1">
      <alignment horizontal="left"/>
    </xf>
    <xf numFmtId="164" fontId="5" fillId="0" borderId="7" xfId="1" applyNumberFormat="1" applyFont="1" applyBorder="1" applyAlignment="1">
      <alignment horizontal="left"/>
    </xf>
    <xf numFmtId="43" fontId="6" fillId="0" borderId="0" xfId="1" applyFont="1" applyAlignment="1">
      <alignment horizontal="left"/>
    </xf>
    <xf numFmtId="43" fontId="6" fillId="0" borderId="5" xfId="1" applyFont="1" applyBorder="1" applyAlignment="1">
      <alignment horizontal="left"/>
    </xf>
    <xf numFmtId="9" fontId="6" fillId="0" borderId="0" xfId="2" applyFont="1" applyAlignment="1">
      <alignment horizontal="right"/>
    </xf>
    <xf numFmtId="9" fontId="6" fillId="0" borderId="5" xfId="2" applyFont="1" applyBorder="1" applyAlignment="1">
      <alignment horizontal="right"/>
    </xf>
    <xf numFmtId="0" fontId="5" fillId="3" borderId="5" xfId="0" applyFont="1" applyFill="1" applyBorder="1" applyAlignment="1">
      <alignment horizontal="center"/>
    </xf>
    <xf numFmtId="14" fontId="5" fillId="3" borderId="8" xfId="0" applyNumberFormat="1" applyFont="1" applyFill="1" applyBorder="1" applyAlignment="1">
      <alignment horizontal="center" vertical="center"/>
    </xf>
    <xf numFmtId="0" fontId="5" fillId="2" borderId="3" xfId="0" applyFont="1" applyFill="1" applyBorder="1" applyAlignment="1">
      <alignment horizontal="center" vertical="center"/>
    </xf>
    <xf numFmtId="164" fontId="6" fillId="0" borderId="4" xfId="1" applyNumberFormat="1" applyFont="1" applyBorder="1" applyAlignment="1">
      <alignment horizontal="left"/>
    </xf>
    <xf numFmtId="164" fontId="5" fillId="0" borderId="5" xfId="1" applyNumberFormat="1" applyFont="1" applyBorder="1" applyAlignment="1">
      <alignment horizontal="left"/>
    </xf>
    <xf numFmtId="164" fontId="5" fillId="0" borderId="0" xfId="1" applyNumberFormat="1" applyFont="1" applyAlignment="1">
      <alignment horizontal="left"/>
    </xf>
    <xf numFmtId="164" fontId="5" fillId="0" borderId="4" xfId="1" applyNumberFormat="1" applyFont="1" applyBorder="1" applyAlignment="1">
      <alignment horizontal="left"/>
    </xf>
    <xf numFmtId="164" fontId="5" fillId="0" borderId="10" xfId="1" applyNumberFormat="1" applyFont="1" applyBorder="1" applyAlignment="1">
      <alignment horizontal="left"/>
    </xf>
    <xf numFmtId="164" fontId="6" fillId="0" borderId="10" xfId="1" applyNumberFormat="1" applyFont="1" applyBorder="1" applyAlignment="1">
      <alignment horizontal="left"/>
    </xf>
    <xf numFmtId="164" fontId="5" fillId="0" borderId="11" xfId="1" applyNumberFormat="1" applyFont="1" applyBorder="1" applyAlignment="1">
      <alignment horizontal="left"/>
    </xf>
    <xf numFmtId="164" fontId="6" fillId="0" borderId="9" xfId="1" applyNumberFormat="1" applyFont="1" applyBorder="1" applyAlignment="1">
      <alignment horizontal="left"/>
    </xf>
    <xf numFmtId="0" fontId="5" fillId="3" borderId="0" xfId="0" applyFont="1" applyFill="1" applyAlignment="1">
      <alignment horizontal="left"/>
    </xf>
    <xf numFmtId="164" fontId="6" fillId="0" borderId="0" xfId="1" applyNumberFormat="1" applyFont="1" applyBorder="1" applyAlignment="1">
      <alignment horizontal="left"/>
    </xf>
    <xf numFmtId="0" fontId="7" fillId="0" borderId="0" xfId="0" applyFont="1" applyAlignment="1">
      <alignment horizontal="left"/>
    </xf>
    <xf numFmtId="9" fontId="7" fillId="0" borderId="5" xfId="2" applyFont="1" applyBorder="1" applyAlignment="1">
      <alignment horizontal="right"/>
    </xf>
    <xf numFmtId="9" fontId="7" fillId="0" borderId="0" xfId="2" applyFont="1" applyBorder="1" applyAlignment="1">
      <alignment horizontal="right"/>
    </xf>
    <xf numFmtId="0" fontId="5" fillId="3" borderId="3" xfId="0" applyFont="1" applyFill="1" applyBorder="1" applyAlignment="1">
      <alignment horizontal="left"/>
    </xf>
    <xf numFmtId="164" fontId="6" fillId="0" borderId="0" xfId="0" applyNumberFormat="1" applyFont="1" applyAlignment="1">
      <alignment horizontal="left"/>
    </xf>
    <xf numFmtId="0" fontId="5" fillId="3" borderId="3" xfId="0" applyFont="1" applyFill="1" applyBorder="1" applyAlignment="1">
      <alignment horizontal="center" vertical="center"/>
    </xf>
    <xf numFmtId="0" fontId="5" fillId="3" borderId="8" xfId="0" applyFont="1" applyFill="1" applyBorder="1" applyAlignment="1">
      <alignment horizontal="center" vertical="center"/>
    </xf>
    <xf numFmtId="9" fontId="5" fillId="0" borderId="2" xfId="2" applyFont="1" applyBorder="1" applyAlignment="1">
      <alignment horizontal="right"/>
    </xf>
    <xf numFmtId="164" fontId="6" fillId="0" borderId="0" xfId="1" applyNumberFormat="1" applyFont="1" applyAlignment="1">
      <alignment horizontal="right"/>
    </xf>
    <xf numFmtId="164" fontId="5" fillId="0" borderId="2" xfId="1" applyNumberFormat="1" applyFont="1" applyBorder="1" applyAlignment="1">
      <alignment horizontal="right"/>
    </xf>
    <xf numFmtId="9" fontId="7" fillId="0" borderId="0" xfId="2" applyFont="1" applyAlignment="1">
      <alignment horizontal="right"/>
    </xf>
    <xf numFmtId="164" fontId="6" fillId="0" borderId="0" xfId="1" applyNumberFormat="1" applyFont="1" applyBorder="1" applyAlignment="1">
      <alignment horizontal="right"/>
    </xf>
    <xf numFmtId="9" fontId="6" fillId="0" borderId="0" xfId="2" applyFont="1" applyBorder="1" applyAlignment="1">
      <alignment horizontal="right"/>
    </xf>
    <xf numFmtId="164" fontId="5" fillId="0" borderId="0" xfId="2" applyNumberFormat="1" applyFont="1" applyBorder="1" applyAlignment="1">
      <alignment horizontal="right"/>
    </xf>
    <xf numFmtId="0" fontId="5" fillId="3" borderId="0" xfId="0" applyFont="1" applyFill="1" applyAlignment="1">
      <alignment horizontal="center"/>
    </xf>
    <xf numFmtId="164" fontId="6" fillId="0" borderId="5" xfId="1" applyNumberFormat="1" applyFont="1" applyBorder="1" applyAlignment="1">
      <alignment horizontal="right"/>
    </xf>
    <xf numFmtId="0" fontId="9" fillId="2" borderId="0" xfId="0" applyFont="1" applyFill="1" applyAlignment="1">
      <alignment vertical="center"/>
    </xf>
    <xf numFmtId="164" fontId="10" fillId="0" borderId="1" xfId="1" applyNumberFormat="1" applyFont="1" applyBorder="1" applyAlignment="1">
      <alignment horizontal="left"/>
    </xf>
    <xf numFmtId="0" fontId="6" fillId="0" borderId="0" xfId="0" applyFont="1" applyAlignment="1">
      <alignment horizontal="left" wrapText="1"/>
    </xf>
    <xf numFmtId="165" fontId="6" fillId="0" borderId="0" xfId="1" applyNumberFormat="1" applyFont="1" applyAlignment="1">
      <alignment horizontal="left"/>
    </xf>
    <xf numFmtId="166" fontId="6" fillId="0" borderId="0" xfId="2" applyNumberFormat="1" applyFont="1" applyAlignment="1">
      <alignment horizontal="right"/>
    </xf>
    <xf numFmtId="0" fontId="6" fillId="0" borderId="5" xfId="0" applyFont="1" applyBorder="1" applyAlignment="1">
      <alignment horizontal="left"/>
    </xf>
    <xf numFmtId="9" fontId="5" fillId="0" borderId="7" xfId="2" applyFont="1" applyBorder="1" applyAlignment="1">
      <alignment horizontal="right"/>
    </xf>
    <xf numFmtId="0" fontId="9" fillId="0" borderId="0" xfId="0" applyFont="1" applyAlignment="1">
      <alignment vertical="center"/>
    </xf>
    <xf numFmtId="0" fontId="5" fillId="0" borderId="5" xfId="0" applyFont="1" applyBorder="1" applyAlignment="1">
      <alignment horizontal="left"/>
    </xf>
    <xf numFmtId="164" fontId="5" fillId="0" borderId="7" xfId="1" applyNumberFormat="1" applyFont="1" applyBorder="1" applyAlignment="1">
      <alignment horizontal="right"/>
    </xf>
    <xf numFmtId="165" fontId="6" fillId="0" borderId="5" xfId="1" applyNumberFormat="1" applyFont="1" applyBorder="1" applyAlignment="1">
      <alignment horizontal="left"/>
    </xf>
    <xf numFmtId="166" fontId="6" fillId="0" borderId="5" xfId="2" applyNumberFormat="1" applyFont="1" applyBorder="1" applyAlignment="1">
      <alignment horizontal="right"/>
    </xf>
    <xf numFmtId="165" fontId="6" fillId="0" borderId="0" xfId="1" applyNumberFormat="1" applyFont="1" applyAlignment="1">
      <alignment horizontal="right"/>
    </xf>
    <xf numFmtId="43" fontId="6" fillId="0" borderId="0" xfId="0" applyNumberFormat="1" applyFont="1" applyAlignment="1">
      <alignment horizontal="left"/>
    </xf>
    <xf numFmtId="43" fontId="5" fillId="0" borderId="2" xfId="0" applyNumberFormat="1" applyFont="1" applyBorder="1" applyAlignment="1">
      <alignment horizontal="left"/>
    </xf>
    <xf numFmtId="43" fontId="6" fillId="0" borderId="5" xfId="0" applyNumberFormat="1" applyFont="1" applyBorder="1" applyAlignment="1">
      <alignment horizontal="left"/>
    </xf>
    <xf numFmtId="43" fontId="5" fillId="0" borderId="7" xfId="0" applyNumberFormat="1" applyFont="1" applyBorder="1" applyAlignment="1">
      <alignment horizontal="left"/>
    </xf>
    <xf numFmtId="164" fontId="6" fillId="0" borderId="5" xfId="0" applyNumberFormat="1" applyFont="1" applyBorder="1" applyAlignment="1">
      <alignment horizontal="left"/>
    </xf>
    <xf numFmtId="165" fontId="5" fillId="0" borderId="0" xfId="1" applyNumberFormat="1" applyFont="1" applyAlignment="1">
      <alignment horizontal="left"/>
    </xf>
    <xf numFmtId="165" fontId="5" fillId="0" borderId="5" xfId="1" applyNumberFormat="1" applyFont="1" applyBorder="1" applyAlignment="1">
      <alignment horizontal="left"/>
    </xf>
    <xf numFmtId="43" fontId="5" fillId="0" borderId="0" xfId="1" applyFont="1" applyAlignment="1">
      <alignment horizontal="left"/>
    </xf>
    <xf numFmtId="164" fontId="5" fillId="0" borderId="0" xfId="0" applyNumberFormat="1" applyFont="1" applyAlignment="1">
      <alignment horizontal="left"/>
    </xf>
    <xf numFmtId="164" fontId="5" fillId="0" borderId="5" xfId="0" applyNumberFormat="1" applyFont="1" applyBorder="1" applyAlignment="1">
      <alignment horizontal="left"/>
    </xf>
    <xf numFmtId="43" fontId="6" fillId="0" borderId="8" xfId="0" applyNumberFormat="1" applyFont="1" applyBorder="1" applyAlignment="1">
      <alignment horizontal="left"/>
    </xf>
    <xf numFmtId="43" fontId="5" fillId="0" borderId="5" xfId="1" applyFont="1" applyBorder="1" applyAlignment="1">
      <alignment horizontal="left"/>
    </xf>
    <xf numFmtId="43" fontId="6" fillId="0" borderId="3" xfId="0" applyNumberFormat="1" applyFont="1" applyBorder="1" applyAlignment="1">
      <alignment horizontal="left"/>
    </xf>
    <xf numFmtId="43" fontId="6" fillId="0" borderId="12" xfId="0" applyNumberFormat="1" applyFont="1" applyBorder="1" applyAlignment="1">
      <alignment horizontal="left"/>
    </xf>
    <xf numFmtId="43" fontId="6" fillId="0" borderId="6" xfId="0" applyNumberFormat="1" applyFont="1" applyBorder="1" applyAlignment="1">
      <alignment horizontal="left"/>
    </xf>
    <xf numFmtId="43" fontId="5" fillId="0" borderId="2" xfId="1" applyFont="1" applyBorder="1" applyAlignment="1">
      <alignment horizontal="left"/>
    </xf>
    <xf numFmtId="43" fontId="5" fillId="0" borderId="7" xfId="1" applyFont="1" applyBorder="1" applyAlignment="1">
      <alignment horizontal="left"/>
    </xf>
    <xf numFmtId="0" fontId="5" fillId="2" borderId="8" xfId="0" applyFont="1" applyFill="1" applyBorder="1" applyAlignment="1">
      <alignment horizontal="center" vertical="center"/>
    </xf>
    <xf numFmtId="0" fontId="5" fillId="0" borderId="0" xfId="0" applyFont="1" applyAlignment="1">
      <alignment horizontal="center"/>
    </xf>
    <xf numFmtId="164" fontId="5" fillId="4" borderId="3" xfId="1" applyNumberFormat="1" applyFont="1" applyFill="1" applyBorder="1" applyAlignment="1">
      <alignment horizontal="center"/>
    </xf>
    <xf numFmtId="0" fontId="4" fillId="3" borderId="0" xfId="0" applyFont="1" applyFill="1" applyAlignment="1">
      <alignment horizontal="center"/>
    </xf>
    <xf numFmtId="0" fontId="2" fillId="3" borderId="5" xfId="0" applyFont="1" applyFill="1" applyBorder="1" applyAlignment="1">
      <alignment horizontal="center"/>
    </xf>
    <xf numFmtId="164" fontId="5" fillId="0" borderId="1" xfId="1" applyNumberFormat="1" applyFont="1" applyBorder="1" applyAlignment="1">
      <alignment horizontal="center" vertical="center"/>
    </xf>
    <xf numFmtId="164" fontId="5" fillId="0" borderId="0" xfId="1" applyNumberFormat="1" applyFont="1" applyBorder="1" applyAlignment="1">
      <alignment horizontal="center" vertical="center"/>
    </xf>
    <xf numFmtId="164" fontId="5" fillId="0" borderId="3" xfId="1" applyNumberFormat="1" applyFont="1" applyBorder="1" applyAlignment="1">
      <alignment horizontal="center" vertical="center"/>
    </xf>
    <xf numFmtId="0" fontId="5" fillId="2" borderId="4" xfId="0" applyFont="1" applyFill="1" applyBorder="1" applyAlignment="1">
      <alignment horizontal="center"/>
    </xf>
    <xf numFmtId="0" fontId="5" fillId="2" borderId="0" xfId="0" applyFont="1" applyFill="1" applyAlignment="1">
      <alignment horizontal="center"/>
    </xf>
    <xf numFmtId="164" fontId="6" fillId="0" borderId="0" xfId="1" applyNumberFormat="1" applyFont="1" applyAlignment="1">
      <alignment horizontal="center" vertical="center"/>
    </xf>
    <xf numFmtId="0" fontId="7" fillId="3" borderId="0" xfId="0" applyFont="1" applyFill="1" applyAlignment="1">
      <alignment horizontal="left" vertical="center"/>
    </xf>
    <xf numFmtId="0" fontId="7" fillId="3" borderId="3" xfId="0" applyFont="1" applyFill="1" applyBorder="1" applyAlignment="1">
      <alignment horizontal="left" vertical="center"/>
    </xf>
    <xf numFmtId="0" fontId="5" fillId="2" borderId="0" xfId="0" applyFont="1" applyFill="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5" fillId="3" borderId="4" xfId="0" applyFont="1" applyFill="1" applyBorder="1" applyAlignment="1">
      <alignment horizontal="center" vertical="center"/>
    </xf>
    <xf numFmtId="164" fontId="5" fillId="4" borderId="0" xfId="1" applyNumberFormat="1" applyFont="1" applyFill="1" applyBorder="1" applyAlignment="1">
      <alignment horizontal="center" vertical="center"/>
    </xf>
    <xf numFmtId="164" fontId="5" fillId="4" borderId="3" xfId="1" applyNumberFormat="1" applyFont="1" applyFill="1" applyBorder="1" applyAlignment="1">
      <alignment horizontal="center" vertical="center"/>
    </xf>
    <xf numFmtId="9" fontId="6" fillId="0" borderId="0" xfId="2" applyFont="1" applyAlignment="1">
      <alignment horizontal="center"/>
    </xf>
    <xf numFmtId="164" fontId="6" fillId="0" borderId="0" xfId="1" applyNumberFormat="1" applyFont="1" applyAlignment="1">
      <alignment horizontal="center"/>
    </xf>
    <xf numFmtId="164" fontId="6" fillId="0" borderId="3" xfId="1" applyNumberFormat="1" applyFont="1" applyBorder="1" applyAlignment="1">
      <alignment horizontal="center"/>
    </xf>
    <xf numFmtId="0" fontId="4" fillId="3" borderId="0" xfId="0" applyFont="1" applyFill="1" applyAlignment="1">
      <alignment horizontal="center" vertical="center"/>
    </xf>
    <xf numFmtId="0" fontId="4" fillId="3" borderId="5" xfId="0" applyFont="1" applyFill="1" applyBorder="1" applyAlignment="1">
      <alignment horizontal="center" vertical="center"/>
    </xf>
    <xf numFmtId="164" fontId="6" fillId="0" borderId="0" xfId="1" applyNumberFormat="1" applyFont="1" applyBorder="1" applyAlignment="1">
      <alignment horizontal="center"/>
    </xf>
    <xf numFmtId="0" fontId="5" fillId="3" borderId="0" xfId="0" applyFont="1" applyFill="1" applyAlignment="1">
      <alignment horizontal="center" vertical="center"/>
    </xf>
    <xf numFmtId="0" fontId="5" fillId="3" borderId="5" xfId="0" applyFont="1" applyFill="1" applyBorder="1" applyAlignment="1">
      <alignment horizontal="center" vertical="center"/>
    </xf>
    <xf numFmtId="164" fontId="6" fillId="0" borderId="4" xfId="1" applyNumberFormat="1" applyFont="1" applyBorder="1" applyAlignment="1">
      <alignment horizontal="center" vertical="center"/>
    </xf>
    <xf numFmtId="164" fontId="6" fillId="0" borderId="0" xfId="1" applyNumberFormat="1" applyFont="1" applyBorder="1" applyAlignment="1">
      <alignment horizontal="center" vertical="center"/>
    </xf>
    <xf numFmtId="0" fontId="5" fillId="3" borderId="3" xfId="0" applyFont="1" applyFill="1" applyBorder="1" applyAlignment="1">
      <alignment horizontal="center" vertical="center"/>
    </xf>
    <xf numFmtId="0" fontId="1" fillId="0" borderId="0" xfId="3"/>
  </cellXfs>
  <cellStyles count="4">
    <cellStyle name="Comma" xfId="1" builtinId="3"/>
    <cellStyle name="Normal" xfId="0" builtinId="0"/>
    <cellStyle name="Normal 2 2" xfId="3" xr:uid="{17814A6B-57D5-B045-A4C7-09FA02F23A52}"/>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12700</xdr:colOff>
      <xdr:row>51</xdr:row>
      <xdr:rowOff>12700</xdr:rowOff>
    </xdr:to>
    <xdr:sp macro="" textlink="">
      <xdr:nvSpPr>
        <xdr:cNvPr id="2" name="TextBox 1">
          <a:extLst>
            <a:ext uri="{FF2B5EF4-FFF2-40B4-BE49-F238E27FC236}">
              <a16:creationId xmlns:a16="http://schemas.microsoft.com/office/drawing/2014/main" id="{3DEFF4D8-7FB7-2F4C-AFAD-1EF5B169885D}"/>
            </a:ext>
          </a:extLst>
        </xdr:cNvPr>
        <xdr:cNvSpPr txBox="1"/>
      </xdr:nvSpPr>
      <xdr:spPr>
        <a:xfrm>
          <a:off x="0" y="0"/>
          <a:ext cx="14046200" cy="1037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u="sng">
              <a:solidFill>
                <a:schemeClr val="dk1"/>
              </a:solidFill>
              <a:effectLst/>
              <a:latin typeface="+mn-lt"/>
              <a:ea typeface="+mn-ea"/>
              <a:cs typeface="+mn-cs"/>
            </a:rPr>
            <a:t>DaVita</a:t>
          </a:r>
        </a:p>
        <a:p>
          <a:endParaRPr lang="en-US" sz="1800" b="1" u="sng">
            <a:solidFill>
              <a:schemeClr val="dk1"/>
            </a:solidFill>
            <a:effectLst/>
            <a:latin typeface="+mn-lt"/>
            <a:ea typeface="+mn-ea"/>
            <a:cs typeface="+mn-cs"/>
          </a:endParaRPr>
        </a:p>
        <a:p>
          <a:r>
            <a:rPr lang="en-US" sz="1800" b="1" u="none">
              <a:solidFill>
                <a:schemeClr val="dk1"/>
              </a:solidFill>
              <a:effectLst/>
              <a:latin typeface="+mn-lt"/>
              <a:ea typeface="+mn-ea"/>
              <a:cs typeface="+mn-cs"/>
            </a:rPr>
            <a:t>May</a:t>
          </a:r>
          <a:r>
            <a:rPr lang="en-US" sz="1800" b="1" u="none" baseline="0">
              <a:solidFill>
                <a:schemeClr val="dk1"/>
              </a:solidFill>
              <a:effectLst/>
              <a:latin typeface="+mn-lt"/>
              <a:ea typeface="+mn-ea"/>
              <a:cs typeface="+mn-cs"/>
            </a:rPr>
            <a:t> 2022</a:t>
          </a:r>
        </a:p>
        <a:p>
          <a:endParaRPr lang="en-US" sz="1800" b="1" u="none" baseline="0">
            <a:solidFill>
              <a:schemeClr val="dk1"/>
            </a:solidFill>
            <a:effectLst/>
            <a:latin typeface="+mn-lt"/>
            <a:ea typeface="+mn-ea"/>
            <a:cs typeface="+mn-cs"/>
          </a:endParaRPr>
        </a:p>
        <a:p>
          <a:r>
            <a:rPr lang="en-US" sz="1600" b="1" u="none" baseline="0">
              <a:solidFill>
                <a:schemeClr val="dk1"/>
              </a:solidFill>
              <a:effectLst/>
              <a:latin typeface="+mn-lt"/>
              <a:ea typeface="+mn-ea"/>
              <a:cs typeface="+mn-cs"/>
            </a:rPr>
            <a:t>TERMS OF USE</a:t>
          </a:r>
          <a:endParaRPr lang="en-US" sz="1600" b="1" u="none">
            <a:solidFill>
              <a:schemeClr val="dk1"/>
            </a:solidFill>
            <a:effectLst/>
            <a:latin typeface="+mn-lt"/>
            <a:ea typeface="+mn-ea"/>
            <a:cs typeface="+mn-cs"/>
          </a:endParaRP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 Copyright 2022 by The Rational Walk LLC. All rights reserved. </a:t>
          </a:r>
        </a:p>
        <a:p>
          <a:endParaRPr lang="en-US" sz="1400"/>
        </a:p>
        <a:p>
          <a:r>
            <a:rPr lang="en-US" sz="1400" b="1">
              <a:solidFill>
                <a:schemeClr val="dk1"/>
              </a:solidFill>
              <a:effectLst/>
              <a:latin typeface="+mn-lt"/>
              <a:ea typeface="+mn-ea"/>
              <a:cs typeface="+mn-cs"/>
            </a:rPr>
            <a:t>This data contained in this spreadsheet is part of a series of business profiles published by The Rational Walk, LLC. </a:t>
          </a:r>
        </a:p>
        <a:p>
          <a:endParaRPr lang="en-US" sz="1400"/>
        </a:p>
        <a:p>
          <a:r>
            <a:rPr lang="en-US" sz="1400" b="1">
              <a:solidFill>
                <a:schemeClr val="dk1"/>
              </a:solidFill>
              <a:effectLst/>
              <a:latin typeface="+mn-lt"/>
              <a:ea typeface="+mn-ea"/>
              <a:cs typeface="+mn-cs"/>
            </a:rPr>
            <a:t>The purpose of a business profile is to provide readers with information regarding a company’s business model and financial results. Business profiles do not provide intrinsic value estimates regarding whether the securities related to the business are attractive investments. Reports are meant to provide background information for educational purposes. </a:t>
          </a:r>
        </a:p>
        <a:p>
          <a:endParaRPr lang="en-US" sz="1400"/>
        </a:p>
        <a:p>
          <a:r>
            <a:rPr lang="en-US" sz="1400">
              <a:solidFill>
                <a:schemeClr val="dk1"/>
              </a:solidFill>
              <a:effectLst/>
              <a:latin typeface="+mn-lt"/>
              <a:ea typeface="+mn-ea"/>
              <a:cs typeface="+mn-cs"/>
            </a:rPr>
            <a:t>The Rational Walk LLC is not a registered investment advisor. Please consult with your own investment advisor before buying or selling any securities discussed in this report. This report is not investment advice nor is it a recommendation to buy or sell securities. Past performance of securities discussed in this report is not a good indication of future performance.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All content is strictly protected by United States copyright laws. Unlawful reproduction is prohibited. This publication may not be photocopied, electronically redistributed, or quoted without written permission, expect for brief quotations in compliance with the fair use doctrine when accompanied by an acknowledgement of the original source.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information contained in this report is based on sources considered to be reliable, but no guarantees are made regarding accuracy. No warranties are given as to the accuracy or completeness of this analysis. All links to internet sites listed in this publication were valid at the time of publication but may change or become invalid in the future. No assurance can be given regarding the reliability of data contained on these websites.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Note that data in this spreadsheet has been hand entered into Excel from SEC filings and other sources. I do this to gain</a:t>
          </a:r>
          <a:r>
            <a:rPr lang="en-US" sz="1400" baseline="0">
              <a:solidFill>
                <a:schemeClr val="dk1"/>
              </a:solidFill>
              <a:effectLst/>
              <a:latin typeface="+mn-lt"/>
              <a:ea typeface="+mn-ea"/>
              <a:cs typeface="+mn-cs"/>
            </a:rPr>
            <a:t> a better understanding of the company, but hand entering data comes with the risk of error. Although I endeavor to check the data multiple times to increase accuracy, no assurances can be provided that the spreadsheet is free from error.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Opinion and conclusions contained within this report are effective at the date of the report and future circumstances could cause the publisher of the report to arrive at different conclusions. No duty whatsoever exists to provide updates to readers of this report at a later date if future developments change the publisher’s opinions or conclusions. </a:t>
          </a:r>
        </a:p>
        <a:p>
          <a:endParaRPr lang="en-US" sz="1400"/>
        </a:p>
        <a:p>
          <a:r>
            <a:rPr lang="en-US" sz="1400">
              <a:solidFill>
                <a:schemeClr val="dk1"/>
              </a:solidFill>
              <a:effectLst/>
              <a:latin typeface="+mn-lt"/>
              <a:ea typeface="+mn-ea"/>
              <a:cs typeface="+mn-cs"/>
            </a:rPr>
            <a:t>At the date of this report, individuals associated with The Rational Walk LLC does not own shares of DaVita but</a:t>
          </a:r>
          <a:r>
            <a:rPr lang="en-US" sz="1400" baseline="0">
              <a:solidFill>
                <a:schemeClr val="dk1"/>
              </a:solidFill>
              <a:effectLst/>
              <a:latin typeface="+mn-lt"/>
              <a:ea typeface="+mn-ea"/>
              <a:cs typeface="+mn-cs"/>
            </a:rPr>
            <a:t> m</a:t>
          </a:r>
          <a:r>
            <a:rPr lang="en-US" sz="1400">
              <a:solidFill>
                <a:schemeClr val="dk1"/>
              </a:solidFill>
              <a:effectLst/>
              <a:latin typeface="+mn-lt"/>
              <a:ea typeface="+mn-ea"/>
              <a:cs typeface="+mn-cs"/>
            </a:rPr>
            <a:t>ay buy or sell shares at any time, in any quantity, and for any reason without any disclosure to readers of this report. </a:t>
          </a:r>
          <a:endParaRPr lang="en-US" sz="1400"/>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The Rational Walk </a:t>
          </a:r>
          <a:r>
            <a:rPr lang="en-US" sz="1400">
              <a:solidFill>
                <a:schemeClr val="dk1"/>
              </a:solidFill>
              <a:effectLst/>
              <a:latin typeface="+mn-lt"/>
              <a:ea typeface="+mn-ea"/>
              <a:cs typeface="+mn-cs"/>
            </a:rPr>
            <a:t>was founded in 2009. Over a thousand articles have been published over the past thirteen years primarily on topics related to investing and personal finance. In addition, over one hundred books have been reviewed over the years. The Rational Walk’s extensive coverage of Berkshire Hathaway has been mentioned in several news articles. The Rational Walk website and full archive may be accessed at rationalwalk.com. </a:t>
          </a:r>
          <a:endParaRPr lang="en-US" sz="1400"/>
        </a:p>
        <a:p>
          <a:endParaRPr lang="en-US" sz="1400"/>
        </a:p>
        <a:p>
          <a:r>
            <a:rPr lang="en-US" sz="1400" b="1">
              <a:solidFill>
                <a:schemeClr val="dk1"/>
              </a:solidFill>
              <a:effectLst/>
              <a:latin typeface="+mn-lt"/>
              <a:ea typeface="+mn-ea"/>
              <a:cs typeface="+mn-cs"/>
            </a:rPr>
            <a:t>Rational Reflections </a:t>
          </a:r>
          <a:r>
            <a:rPr lang="en-US" sz="1400">
              <a:solidFill>
                <a:schemeClr val="dk1"/>
              </a:solidFill>
              <a:effectLst/>
              <a:latin typeface="+mn-lt"/>
              <a:ea typeface="+mn-ea"/>
              <a:cs typeface="+mn-cs"/>
            </a:rPr>
            <a:t>is a newsletter published by The Rational Walk LLC. The Weekly Digest contains original content and curated links to articles, podcasts, videos, and other content with a high signal-to-noise ratio. Weekly Digest is free. In addition, Rational Reflections publishes profiles of businesses which are distributed to paying subscribers. While there is no set publication schedule for business profiles, subscribers should expect to receive at least twelve profiles per year. </a:t>
          </a:r>
        </a:p>
        <a:p>
          <a:endParaRPr lang="en-US" sz="1400"/>
        </a:p>
        <a:p>
          <a:r>
            <a:rPr lang="en-US" sz="1400" b="1">
              <a:solidFill>
                <a:schemeClr val="dk1"/>
              </a:solidFill>
              <a:effectLst/>
              <a:latin typeface="+mn-lt"/>
              <a:ea typeface="+mn-ea"/>
              <a:cs typeface="+mn-cs"/>
            </a:rPr>
            <a:t>The subscription price for Rational Reflections is $10 per month or $120 per year. </a:t>
          </a:r>
          <a:r>
            <a:rPr lang="en-US" sz="1400">
              <a:solidFill>
                <a:schemeClr val="dk1"/>
              </a:solidFill>
              <a:effectLst/>
              <a:latin typeface="+mn-lt"/>
              <a:ea typeface="+mn-ea"/>
              <a:cs typeface="+mn-cs"/>
            </a:rPr>
            <a:t>Subscriptions are available for purchase at rationalreflections.substack.com/subscribe. Subscriptions are meant to be accessed by a single individual. Please do not redistribute this report or other subscriber-only materials to non-subscribers.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Please direct any inquiries regarding this publication to administrator@rationalwalk.com. </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6F70-9EA9-2C43-A117-CD0BF1DCF2ED}">
  <dimension ref="A1"/>
  <sheetViews>
    <sheetView tabSelected="1" workbookViewId="0">
      <selection activeCell="H56" sqref="H56"/>
    </sheetView>
  </sheetViews>
  <sheetFormatPr baseColWidth="10" defaultRowHeight="16" x14ac:dyDescent="0.2"/>
  <cols>
    <col min="1" max="16384" width="10.83203125" style="12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5"/>
  <sheetViews>
    <sheetView workbookViewId="0">
      <pane ySplit="4" topLeftCell="A5" activePane="bottomLeft" state="frozen"/>
      <selection pane="bottomLeft"/>
    </sheetView>
  </sheetViews>
  <sheetFormatPr baseColWidth="10" defaultColWidth="9.1640625" defaultRowHeight="19" x14ac:dyDescent="0.25"/>
  <cols>
    <col min="1" max="1" width="55.33203125" style="2" bestFit="1" customWidth="1"/>
    <col min="2" max="18" width="13.33203125" style="2" customWidth="1"/>
    <col min="19" max="25" width="10.6640625" style="2" customWidth="1"/>
    <col min="26" max="16384" width="9.1640625" style="2"/>
  </cols>
  <sheetData>
    <row r="1" spans="1:19" ht="21" x14ac:dyDescent="0.25">
      <c r="A1" s="65" t="s">
        <v>29</v>
      </c>
      <c r="B1" s="3"/>
      <c r="C1" s="3"/>
      <c r="D1" s="3"/>
      <c r="E1" s="3"/>
      <c r="F1" s="3"/>
      <c r="G1" s="3"/>
      <c r="I1" s="3"/>
      <c r="J1" s="3"/>
    </row>
    <row r="2" spans="1:19" x14ac:dyDescent="0.25">
      <c r="A2" s="4" t="s">
        <v>219</v>
      </c>
      <c r="B2" s="4"/>
      <c r="C2" s="4"/>
      <c r="D2" s="4"/>
      <c r="E2" s="4"/>
      <c r="F2" s="4"/>
      <c r="G2" s="4"/>
      <c r="H2" s="4"/>
      <c r="I2" s="3"/>
      <c r="J2" s="3"/>
      <c r="Q2" s="3"/>
    </row>
    <row r="3" spans="1:19" x14ac:dyDescent="0.25">
      <c r="A3" s="4" t="s">
        <v>1</v>
      </c>
      <c r="B3" s="4"/>
      <c r="C3" s="4"/>
      <c r="D3" s="4"/>
      <c r="E3" s="4"/>
      <c r="F3" s="4"/>
      <c r="G3" s="4"/>
      <c r="H3" s="4"/>
      <c r="I3" s="3"/>
      <c r="J3" s="3"/>
    </row>
    <row r="4" spans="1:19" x14ac:dyDescent="0.25">
      <c r="A4" s="5" t="s">
        <v>0</v>
      </c>
      <c r="B4" s="6">
        <v>44651</v>
      </c>
      <c r="C4" s="7">
        <v>44561</v>
      </c>
      <c r="D4" s="7">
        <v>44196</v>
      </c>
      <c r="E4" s="7">
        <v>43830</v>
      </c>
      <c r="F4" s="7">
        <v>43465</v>
      </c>
      <c r="G4" s="7">
        <v>43100</v>
      </c>
      <c r="H4" s="7">
        <v>42735</v>
      </c>
      <c r="I4" s="7">
        <v>42369</v>
      </c>
      <c r="J4" s="7">
        <v>42004</v>
      </c>
      <c r="K4" s="7">
        <v>41639</v>
      </c>
      <c r="L4" s="7">
        <v>41274</v>
      </c>
      <c r="M4" s="7">
        <v>40908</v>
      </c>
      <c r="N4" s="7">
        <v>40543</v>
      </c>
      <c r="O4" s="7">
        <v>40178</v>
      </c>
      <c r="P4" s="7">
        <v>39813</v>
      </c>
      <c r="Q4" s="7">
        <v>39447</v>
      </c>
      <c r="R4" s="7">
        <v>39082</v>
      </c>
    </row>
    <row r="5" spans="1:19" x14ac:dyDescent="0.25">
      <c r="A5" s="8" t="s">
        <v>44</v>
      </c>
      <c r="B5" s="8"/>
      <c r="C5" s="8"/>
      <c r="D5" s="8"/>
      <c r="E5" s="8"/>
      <c r="F5" s="8"/>
      <c r="G5" s="8"/>
      <c r="H5" s="9"/>
      <c r="I5" s="9"/>
      <c r="J5" s="9"/>
      <c r="K5" s="9"/>
      <c r="L5" s="9"/>
      <c r="M5" s="9"/>
      <c r="N5" s="9"/>
      <c r="O5" s="9"/>
      <c r="P5" s="9"/>
      <c r="Q5" s="9"/>
      <c r="R5" s="9"/>
      <c r="S5" s="10"/>
    </row>
    <row r="6" spans="1:19" x14ac:dyDescent="0.25">
      <c r="A6" s="2" t="s">
        <v>33</v>
      </c>
      <c r="B6" s="10">
        <v>327502</v>
      </c>
      <c r="C6" s="10">
        <v>461900</v>
      </c>
      <c r="D6" s="10">
        <v>324958</v>
      </c>
      <c r="E6" s="10">
        <v>1102372</v>
      </c>
      <c r="F6" s="10">
        <v>323038</v>
      </c>
      <c r="G6" s="10">
        <v>508234</v>
      </c>
      <c r="H6" s="10">
        <v>913187</v>
      </c>
      <c r="I6" s="10">
        <v>1499116</v>
      </c>
      <c r="J6" s="10">
        <v>965241</v>
      </c>
      <c r="K6" s="10">
        <v>946249</v>
      </c>
      <c r="L6" s="10">
        <v>533748</v>
      </c>
      <c r="M6" s="10">
        <v>393752</v>
      </c>
      <c r="N6" s="10">
        <v>860117</v>
      </c>
      <c r="O6" s="10">
        <v>539459</v>
      </c>
      <c r="P6" s="10">
        <v>410881</v>
      </c>
      <c r="Q6" s="10">
        <v>447046</v>
      </c>
      <c r="R6" s="10">
        <v>310202</v>
      </c>
      <c r="S6" s="10"/>
    </row>
    <row r="7" spans="1:19" x14ac:dyDescent="0.25">
      <c r="A7" s="2" t="s">
        <v>224</v>
      </c>
      <c r="B7" s="10">
        <v>93079</v>
      </c>
      <c r="C7" s="10">
        <v>93060</v>
      </c>
      <c r="D7" s="10">
        <v>176832</v>
      </c>
      <c r="E7" s="10">
        <v>106346</v>
      </c>
      <c r="F7" s="10">
        <v>92382</v>
      </c>
      <c r="G7" s="10">
        <v>0</v>
      </c>
      <c r="H7" s="10">
        <v>0</v>
      </c>
      <c r="I7" s="10">
        <v>0</v>
      </c>
      <c r="J7" s="10">
        <v>0</v>
      </c>
      <c r="K7" s="10">
        <v>0</v>
      </c>
      <c r="L7" s="10">
        <v>0</v>
      </c>
      <c r="M7" s="10">
        <v>0</v>
      </c>
      <c r="N7" s="10">
        <v>0</v>
      </c>
      <c r="O7" s="10">
        <v>0</v>
      </c>
      <c r="P7" s="10">
        <v>0</v>
      </c>
      <c r="Q7" s="10">
        <v>0</v>
      </c>
      <c r="R7" s="10">
        <v>0</v>
      </c>
      <c r="S7" s="10"/>
    </row>
    <row r="8" spans="1:19" x14ac:dyDescent="0.25">
      <c r="A8" s="2" t="s">
        <v>34</v>
      </c>
      <c r="B8" s="10">
        <v>19407</v>
      </c>
      <c r="C8" s="10">
        <v>22310</v>
      </c>
      <c r="D8" s="10">
        <v>20101</v>
      </c>
      <c r="E8" s="10">
        <v>11572</v>
      </c>
      <c r="F8" s="10">
        <v>2935</v>
      </c>
      <c r="G8" s="10">
        <v>43516</v>
      </c>
      <c r="H8" s="10">
        <v>310198</v>
      </c>
      <c r="I8" s="10">
        <v>408084</v>
      </c>
      <c r="J8" s="10">
        <v>337399</v>
      </c>
      <c r="K8" s="10">
        <v>6801</v>
      </c>
      <c r="L8" s="10">
        <v>7138</v>
      </c>
      <c r="M8" s="10">
        <v>17399</v>
      </c>
      <c r="N8" s="10">
        <v>23003</v>
      </c>
      <c r="O8" s="10">
        <v>26475</v>
      </c>
      <c r="P8" s="10">
        <v>35532</v>
      </c>
      <c r="Q8" s="10">
        <v>40278</v>
      </c>
      <c r="R8" s="10">
        <v>4734</v>
      </c>
      <c r="S8" s="10"/>
    </row>
    <row r="9" spans="1:19" x14ac:dyDescent="0.25">
      <c r="A9" s="2" t="s">
        <v>35</v>
      </c>
      <c r="B9" s="10">
        <v>2044346</v>
      </c>
      <c r="C9" s="10">
        <v>1957583</v>
      </c>
      <c r="D9" s="10">
        <v>1824282</v>
      </c>
      <c r="E9" s="10">
        <v>1795598</v>
      </c>
      <c r="F9" s="10">
        <v>1858608</v>
      </c>
      <c r="G9" s="10">
        <v>1714750</v>
      </c>
      <c r="H9" s="10">
        <v>1917302</v>
      </c>
      <c r="I9" s="10">
        <v>1724228</v>
      </c>
      <c r="J9" s="10">
        <v>1525849</v>
      </c>
      <c r="K9" s="10">
        <v>1485163</v>
      </c>
      <c r="L9" s="10">
        <v>1424303</v>
      </c>
      <c r="M9" s="10">
        <v>1195163</v>
      </c>
      <c r="N9" s="10">
        <v>1048976</v>
      </c>
      <c r="O9" s="10">
        <v>1105903</v>
      </c>
      <c r="P9" s="10">
        <v>1075457</v>
      </c>
      <c r="Q9" s="10">
        <v>927949</v>
      </c>
      <c r="R9" s="10">
        <v>932385</v>
      </c>
      <c r="S9" s="10"/>
    </row>
    <row r="10" spans="1:19" x14ac:dyDescent="0.25">
      <c r="A10" s="2" t="s">
        <v>36</v>
      </c>
      <c r="B10" s="10">
        <v>107722</v>
      </c>
      <c r="C10" s="10">
        <v>107428</v>
      </c>
      <c r="D10" s="10">
        <v>111625</v>
      </c>
      <c r="E10" s="10">
        <v>97949</v>
      </c>
      <c r="F10" s="10">
        <v>107381</v>
      </c>
      <c r="G10" s="10">
        <v>181799</v>
      </c>
      <c r="H10" s="10">
        <v>164858</v>
      </c>
      <c r="I10" s="10">
        <v>185575</v>
      </c>
      <c r="J10" s="10">
        <v>136085</v>
      </c>
      <c r="K10" s="10">
        <v>88805</v>
      </c>
      <c r="L10" s="10">
        <v>78126</v>
      </c>
      <c r="M10" s="10">
        <v>75731</v>
      </c>
      <c r="N10" s="10">
        <v>76008</v>
      </c>
      <c r="O10" s="10">
        <v>70041</v>
      </c>
      <c r="P10" s="10">
        <v>84174</v>
      </c>
      <c r="Q10" s="10">
        <v>80173</v>
      </c>
      <c r="R10" s="10">
        <v>89119</v>
      </c>
      <c r="S10" s="10"/>
    </row>
    <row r="11" spans="1:19" x14ac:dyDescent="0.25">
      <c r="A11" s="2" t="s">
        <v>37</v>
      </c>
      <c r="B11" s="10">
        <v>441363</v>
      </c>
      <c r="C11" s="10">
        <v>427321</v>
      </c>
      <c r="D11" s="10">
        <v>544376</v>
      </c>
      <c r="E11" s="10">
        <v>489695</v>
      </c>
      <c r="F11" s="10">
        <v>469796</v>
      </c>
      <c r="G11" s="10">
        <v>372919</v>
      </c>
      <c r="H11" s="10">
        <v>453483</v>
      </c>
      <c r="I11" s="10">
        <v>435885</v>
      </c>
      <c r="J11" s="10">
        <v>400916</v>
      </c>
      <c r="K11" s="10">
        <v>349090</v>
      </c>
      <c r="L11" s="10">
        <v>265671</v>
      </c>
      <c r="M11" s="10">
        <v>281468</v>
      </c>
      <c r="N11" s="10">
        <v>304366</v>
      </c>
      <c r="O11" s="10">
        <v>263456</v>
      </c>
      <c r="P11" s="10">
        <v>239165</v>
      </c>
      <c r="Q11" s="10">
        <v>198744</v>
      </c>
      <c r="R11" s="10">
        <v>148842</v>
      </c>
      <c r="S11" s="10"/>
    </row>
    <row r="12" spans="1:19" x14ac:dyDescent="0.25">
      <c r="A12" s="2" t="s">
        <v>220</v>
      </c>
      <c r="B12" s="10">
        <v>79261</v>
      </c>
      <c r="C12" s="10">
        <v>72517</v>
      </c>
      <c r="D12" s="10">
        <v>76387</v>
      </c>
      <c r="E12" s="10">
        <v>66866</v>
      </c>
      <c r="F12" s="10">
        <v>111840</v>
      </c>
      <c r="G12" s="10">
        <v>112058</v>
      </c>
      <c r="H12" s="10">
        <v>210604</v>
      </c>
      <c r="I12" s="10">
        <v>190322</v>
      </c>
      <c r="J12" s="10">
        <v>186842</v>
      </c>
      <c r="K12" s="10">
        <v>176414</v>
      </c>
      <c r="L12" s="10">
        <v>201572</v>
      </c>
      <c r="M12" s="10">
        <v>49349</v>
      </c>
      <c r="N12" s="10">
        <v>43994</v>
      </c>
      <c r="O12" s="10">
        <v>40234</v>
      </c>
      <c r="P12" s="10">
        <v>33761</v>
      </c>
      <c r="Q12" s="10">
        <v>34482</v>
      </c>
      <c r="R12" s="10">
        <v>25124</v>
      </c>
      <c r="S12" s="10"/>
    </row>
    <row r="13" spans="1:19" x14ac:dyDescent="0.25">
      <c r="A13" s="2" t="s">
        <v>38</v>
      </c>
      <c r="B13" s="10">
        <v>16034</v>
      </c>
      <c r="C13" s="10">
        <v>25604</v>
      </c>
      <c r="D13" s="10">
        <v>70163</v>
      </c>
      <c r="E13" s="10">
        <v>19772</v>
      </c>
      <c r="F13" s="10">
        <v>68614</v>
      </c>
      <c r="G13" s="10">
        <v>49440</v>
      </c>
      <c r="H13" s="10">
        <v>10596</v>
      </c>
      <c r="I13" s="10">
        <v>60070</v>
      </c>
      <c r="J13" s="10">
        <v>83839</v>
      </c>
      <c r="K13" s="10">
        <v>10315</v>
      </c>
      <c r="L13" s="10">
        <v>52345</v>
      </c>
      <c r="M13" s="10">
        <v>0</v>
      </c>
      <c r="N13" s="10">
        <v>40330</v>
      </c>
      <c r="O13" s="10">
        <v>0</v>
      </c>
      <c r="P13" s="10">
        <v>32130</v>
      </c>
      <c r="Q13" s="10">
        <v>0</v>
      </c>
      <c r="R13" s="10">
        <v>0</v>
      </c>
      <c r="S13" s="10"/>
    </row>
    <row r="14" spans="1:19" x14ac:dyDescent="0.25">
      <c r="A14" s="2" t="s">
        <v>54</v>
      </c>
      <c r="B14" s="10">
        <v>0</v>
      </c>
      <c r="C14" s="10">
        <v>0</v>
      </c>
      <c r="D14" s="10">
        <v>0</v>
      </c>
      <c r="E14" s="10">
        <v>0</v>
      </c>
      <c r="F14" s="10">
        <v>0</v>
      </c>
      <c r="G14" s="10">
        <v>0</v>
      </c>
      <c r="H14" s="10">
        <v>0</v>
      </c>
      <c r="I14" s="10">
        <v>0</v>
      </c>
      <c r="J14" s="10">
        <v>240626</v>
      </c>
      <c r="K14" s="10">
        <v>409441</v>
      </c>
      <c r="L14" s="10">
        <v>324147</v>
      </c>
      <c r="M14" s="10">
        <v>280382</v>
      </c>
      <c r="N14" s="10">
        <v>226060</v>
      </c>
      <c r="O14" s="10">
        <v>256953</v>
      </c>
      <c r="P14" s="10">
        <v>217196</v>
      </c>
      <c r="Q14" s="10">
        <v>247578</v>
      </c>
      <c r="R14" s="10">
        <v>199090</v>
      </c>
      <c r="S14" s="10"/>
    </row>
    <row r="15" spans="1:19" x14ac:dyDescent="0.25">
      <c r="A15" s="2" t="s">
        <v>221</v>
      </c>
      <c r="B15" s="10">
        <v>0</v>
      </c>
      <c r="C15" s="10">
        <v>0</v>
      </c>
      <c r="D15" s="10">
        <v>0</v>
      </c>
      <c r="E15" s="10">
        <v>0</v>
      </c>
      <c r="F15" s="10">
        <v>5389565</v>
      </c>
      <c r="G15" s="10">
        <v>5761642</v>
      </c>
      <c r="H15" s="10">
        <v>0</v>
      </c>
      <c r="I15" s="10">
        <v>0</v>
      </c>
      <c r="J15" s="10">
        <v>0</v>
      </c>
      <c r="K15" s="10">
        <v>0</v>
      </c>
      <c r="L15" s="10">
        <v>0</v>
      </c>
      <c r="M15" s="10">
        <v>0</v>
      </c>
      <c r="N15" s="10">
        <v>0</v>
      </c>
      <c r="O15" s="10">
        <v>0</v>
      </c>
      <c r="P15" s="10">
        <v>0</v>
      </c>
      <c r="Q15" s="10">
        <v>0</v>
      </c>
      <c r="R15" s="10">
        <v>0</v>
      </c>
      <c r="S15" s="10"/>
    </row>
    <row r="16" spans="1:19" x14ac:dyDescent="0.25">
      <c r="A16" s="2" t="s">
        <v>39</v>
      </c>
      <c r="B16" s="11">
        <f>SUM(B6:B15)</f>
        <v>3128714</v>
      </c>
      <c r="C16" s="11">
        <f t="shared" ref="C16:R16" si="0">SUM(C6:C15)</f>
        <v>3167723</v>
      </c>
      <c r="D16" s="11">
        <f t="shared" si="0"/>
        <v>3148724</v>
      </c>
      <c r="E16" s="11">
        <f t="shared" si="0"/>
        <v>3690170</v>
      </c>
      <c r="F16" s="11">
        <f t="shared" si="0"/>
        <v>8424159</v>
      </c>
      <c r="G16" s="11">
        <f t="shared" si="0"/>
        <v>8744358</v>
      </c>
      <c r="H16" s="11">
        <f t="shared" si="0"/>
        <v>3980228</v>
      </c>
      <c r="I16" s="11">
        <f t="shared" si="0"/>
        <v>4503280</v>
      </c>
      <c r="J16" s="11">
        <f t="shared" si="0"/>
        <v>3876797</v>
      </c>
      <c r="K16" s="11">
        <f t="shared" si="0"/>
        <v>3472278</v>
      </c>
      <c r="L16" s="11">
        <f t="shared" si="0"/>
        <v>2887050</v>
      </c>
      <c r="M16" s="11">
        <f t="shared" si="0"/>
        <v>2293244</v>
      </c>
      <c r="N16" s="11">
        <f t="shared" si="0"/>
        <v>2622854</v>
      </c>
      <c r="O16" s="11">
        <f t="shared" si="0"/>
        <v>2302521</v>
      </c>
      <c r="P16" s="11">
        <f t="shared" si="0"/>
        <v>2128296</v>
      </c>
      <c r="Q16" s="11">
        <f t="shared" si="0"/>
        <v>1976250</v>
      </c>
      <c r="R16" s="11">
        <f t="shared" si="0"/>
        <v>1709496</v>
      </c>
      <c r="S16" s="10"/>
    </row>
    <row r="17" spans="1:19" x14ac:dyDescent="0.25">
      <c r="A17" s="2" t="s">
        <v>40</v>
      </c>
      <c r="B17" s="10">
        <v>3439337</v>
      </c>
      <c r="C17" s="10">
        <v>3479972</v>
      </c>
      <c r="D17" s="10">
        <v>3521824</v>
      </c>
      <c r="E17" s="10">
        <v>3473384</v>
      </c>
      <c r="F17" s="10">
        <v>3393669</v>
      </c>
      <c r="G17" s="10">
        <v>3149213</v>
      </c>
      <c r="H17" s="10">
        <v>3175367</v>
      </c>
      <c r="I17" s="10">
        <v>2788740</v>
      </c>
      <c r="J17" s="10">
        <v>2469099</v>
      </c>
      <c r="K17" s="10">
        <v>2189411</v>
      </c>
      <c r="L17" s="10">
        <v>1872370</v>
      </c>
      <c r="M17" s="10">
        <v>1432651</v>
      </c>
      <c r="N17" s="10">
        <v>1170808</v>
      </c>
      <c r="O17" s="10">
        <v>1104925</v>
      </c>
      <c r="P17" s="10">
        <v>1048075</v>
      </c>
      <c r="Q17" s="10">
        <v>939326</v>
      </c>
      <c r="R17" s="10">
        <v>849966</v>
      </c>
      <c r="S17" s="10"/>
    </row>
    <row r="18" spans="1:19" x14ac:dyDescent="0.25">
      <c r="A18" s="2" t="s">
        <v>225</v>
      </c>
      <c r="B18" s="10">
        <v>2784140</v>
      </c>
      <c r="C18" s="10">
        <v>2824787</v>
      </c>
      <c r="D18" s="10">
        <v>2863089</v>
      </c>
      <c r="E18" s="10">
        <v>2830047</v>
      </c>
      <c r="F18" s="10">
        <v>0</v>
      </c>
      <c r="G18" s="10">
        <v>0</v>
      </c>
      <c r="H18" s="10">
        <v>0</v>
      </c>
      <c r="I18" s="10">
        <v>0</v>
      </c>
      <c r="J18" s="10">
        <v>0</v>
      </c>
      <c r="K18" s="10">
        <v>0</v>
      </c>
      <c r="L18" s="10">
        <v>0</v>
      </c>
      <c r="M18" s="10">
        <v>0</v>
      </c>
      <c r="N18" s="10">
        <v>0</v>
      </c>
      <c r="O18" s="10">
        <v>0</v>
      </c>
      <c r="P18" s="10">
        <v>0</v>
      </c>
      <c r="Q18" s="10">
        <v>0</v>
      </c>
      <c r="R18" s="10">
        <v>0</v>
      </c>
      <c r="S18" s="10"/>
    </row>
    <row r="19" spans="1:19" x14ac:dyDescent="0.25">
      <c r="A19" s="2" t="s">
        <v>13</v>
      </c>
      <c r="B19" s="10">
        <v>191096</v>
      </c>
      <c r="C19" s="10">
        <v>177693</v>
      </c>
      <c r="D19" s="10">
        <v>166585</v>
      </c>
      <c r="E19" s="10">
        <v>135684</v>
      </c>
      <c r="F19" s="10">
        <v>118846</v>
      </c>
      <c r="G19" s="10">
        <v>113827</v>
      </c>
      <c r="H19" s="10">
        <v>1527767</v>
      </c>
      <c r="I19" s="10">
        <v>1687326</v>
      </c>
      <c r="J19" s="10">
        <v>1949498</v>
      </c>
      <c r="K19" s="10">
        <v>2024373</v>
      </c>
      <c r="L19" s="10">
        <v>2128118</v>
      </c>
      <c r="M19" s="10">
        <v>159491</v>
      </c>
      <c r="N19" s="10">
        <v>162635</v>
      </c>
      <c r="O19" s="10">
        <v>136732</v>
      </c>
      <c r="P19" s="10">
        <v>160521</v>
      </c>
      <c r="Q19" s="10">
        <v>183042</v>
      </c>
      <c r="R19" s="10">
        <v>203721</v>
      </c>
      <c r="S19" s="10"/>
    </row>
    <row r="20" spans="1:19" x14ac:dyDescent="0.25">
      <c r="A20" s="2" t="s">
        <v>41</v>
      </c>
      <c r="B20" s="10">
        <v>237788</v>
      </c>
      <c r="C20" s="10">
        <v>238881</v>
      </c>
      <c r="D20" s="10">
        <v>257491</v>
      </c>
      <c r="E20" s="10">
        <v>241983</v>
      </c>
      <c r="F20" s="10">
        <v>224611</v>
      </c>
      <c r="G20" s="10">
        <v>245534</v>
      </c>
      <c r="H20" s="10">
        <v>502389</v>
      </c>
      <c r="I20" s="10">
        <v>73368</v>
      </c>
      <c r="J20" s="10">
        <v>65637</v>
      </c>
      <c r="K20" s="10">
        <v>40686</v>
      </c>
      <c r="L20" s="10">
        <v>35150</v>
      </c>
      <c r="M20" s="10">
        <v>27325</v>
      </c>
      <c r="N20" s="10">
        <v>25918</v>
      </c>
      <c r="O20" s="10">
        <v>22631</v>
      </c>
      <c r="P20" s="10">
        <v>19274</v>
      </c>
      <c r="Q20" s="10">
        <v>19446</v>
      </c>
      <c r="R20" s="10">
        <v>1813</v>
      </c>
      <c r="S20" s="10"/>
    </row>
    <row r="21" spans="1:19" x14ac:dyDescent="0.25">
      <c r="A21" s="2" t="s">
        <v>42</v>
      </c>
      <c r="B21" s="10">
        <v>47866</v>
      </c>
      <c r="C21" s="10">
        <v>49514</v>
      </c>
      <c r="D21" s="10">
        <v>32193</v>
      </c>
      <c r="E21" s="10">
        <v>36519</v>
      </c>
      <c r="F21" s="10">
        <v>35424</v>
      </c>
      <c r="G21" s="10">
        <v>37695</v>
      </c>
      <c r="H21" s="10">
        <v>103679</v>
      </c>
      <c r="I21" s="10">
        <v>94122</v>
      </c>
      <c r="J21" s="10">
        <v>89389</v>
      </c>
      <c r="K21" s="10">
        <v>79557</v>
      </c>
      <c r="L21" s="10">
        <v>59341</v>
      </c>
      <c r="M21" s="10">
        <v>9890</v>
      </c>
      <c r="N21" s="10">
        <v>8848</v>
      </c>
      <c r="O21" s="10">
        <v>7616</v>
      </c>
      <c r="P21" s="10">
        <v>5656</v>
      </c>
      <c r="Q21" s="10">
        <v>22562</v>
      </c>
      <c r="R21" s="10">
        <v>13174</v>
      </c>
      <c r="S21" s="10"/>
    </row>
    <row r="22" spans="1:19" x14ac:dyDescent="0.25">
      <c r="A22" s="2" t="s">
        <v>43</v>
      </c>
      <c r="B22" s="10">
        <v>185166</v>
      </c>
      <c r="C22" s="10">
        <v>136677</v>
      </c>
      <c r="D22" s="10">
        <v>79501</v>
      </c>
      <c r="E22" s="10">
        <v>115972</v>
      </c>
      <c r="F22" s="10">
        <v>71583</v>
      </c>
      <c r="G22" s="10">
        <v>47287</v>
      </c>
      <c r="H22" s="10">
        <v>44510</v>
      </c>
      <c r="I22" s="10">
        <v>73560</v>
      </c>
      <c r="J22" s="10">
        <v>77000</v>
      </c>
      <c r="K22" s="10">
        <v>79598</v>
      </c>
      <c r="L22" s="10">
        <v>79854</v>
      </c>
      <c r="M22" s="10">
        <v>34231</v>
      </c>
      <c r="N22" s="10">
        <v>32054</v>
      </c>
      <c r="O22" s="10">
        <v>32615</v>
      </c>
      <c r="P22" s="10">
        <v>47330</v>
      </c>
      <c r="Q22" s="10">
        <v>35401</v>
      </c>
      <c r="R22" s="10">
        <v>45793</v>
      </c>
      <c r="S22" s="10"/>
    </row>
    <row r="23" spans="1:19" x14ac:dyDescent="0.25">
      <c r="A23" s="2" t="s">
        <v>14</v>
      </c>
      <c r="B23" s="10">
        <v>7072903</v>
      </c>
      <c r="C23" s="10">
        <v>7046241</v>
      </c>
      <c r="D23" s="10">
        <v>6919109</v>
      </c>
      <c r="E23" s="10">
        <v>6787635</v>
      </c>
      <c r="F23" s="10">
        <v>6841960</v>
      </c>
      <c r="G23" s="10">
        <v>6610279</v>
      </c>
      <c r="H23" s="10">
        <v>9407317</v>
      </c>
      <c r="I23" s="10">
        <v>9294479</v>
      </c>
      <c r="J23" s="10">
        <v>9415295</v>
      </c>
      <c r="K23" s="10">
        <v>9212974</v>
      </c>
      <c r="L23" s="10">
        <v>8952750</v>
      </c>
      <c r="M23" s="10">
        <v>4946976</v>
      </c>
      <c r="N23" s="10">
        <v>4091307</v>
      </c>
      <c r="O23" s="10">
        <v>3951196</v>
      </c>
      <c r="P23" s="10">
        <v>3876931</v>
      </c>
      <c r="Q23" s="10">
        <v>3767933</v>
      </c>
      <c r="R23" s="10">
        <v>3667853</v>
      </c>
      <c r="S23" s="10"/>
    </row>
    <row r="24" spans="1:19" ht="20" thickBot="1" x14ac:dyDescent="0.3">
      <c r="A24" s="12" t="s">
        <v>15</v>
      </c>
      <c r="B24" s="13">
        <f t="shared" ref="B24:G24" si="1">SUM(B16:B23)</f>
        <v>17087010</v>
      </c>
      <c r="C24" s="13">
        <f t="shared" si="1"/>
        <v>17121488</v>
      </c>
      <c r="D24" s="13">
        <f t="shared" si="1"/>
        <v>16988516</v>
      </c>
      <c r="E24" s="13">
        <f t="shared" si="1"/>
        <v>17311394</v>
      </c>
      <c r="F24" s="13">
        <f t="shared" si="1"/>
        <v>19110252</v>
      </c>
      <c r="G24" s="13">
        <f t="shared" si="1"/>
        <v>18948193</v>
      </c>
      <c r="H24" s="13">
        <f>SUM(H16:H23)</f>
        <v>18741257</v>
      </c>
      <c r="I24" s="13">
        <f t="shared" ref="I24:R24" si="2">SUM(I16:I23)</f>
        <v>18514875</v>
      </c>
      <c r="J24" s="13">
        <f t="shared" si="2"/>
        <v>17942715</v>
      </c>
      <c r="K24" s="13">
        <f t="shared" si="2"/>
        <v>17098877</v>
      </c>
      <c r="L24" s="13">
        <f t="shared" si="2"/>
        <v>16014633</v>
      </c>
      <c r="M24" s="13">
        <f t="shared" si="2"/>
        <v>8903808</v>
      </c>
      <c r="N24" s="13">
        <f t="shared" si="2"/>
        <v>8114424</v>
      </c>
      <c r="O24" s="13">
        <f t="shared" si="2"/>
        <v>7558236</v>
      </c>
      <c r="P24" s="13">
        <f t="shared" si="2"/>
        <v>7286083</v>
      </c>
      <c r="Q24" s="13">
        <f t="shared" si="2"/>
        <v>6943960</v>
      </c>
      <c r="R24" s="13">
        <f t="shared" si="2"/>
        <v>6491816</v>
      </c>
      <c r="S24" s="10"/>
    </row>
    <row r="25" spans="1:19" ht="20" thickTop="1" x14ac:dyDescent="0.25">
      <c r="A25" s="12" t="s">
        <v>45</v>
      </c>
      <c r="B25" s="10"/>
      <c r="C25" s="10"/>
      <c r="D25" s="10"/>
      <c r="E25" s="10"/>
      <c r="F25" s="10"/>
      <c r="G25" s="10"/>
      <c r="H25" s="10"/>
      <c r="I25" s="10"/>
      <c r="J25" s="10"/>
      <c r="K25" s="10"/>
      <c r="L25" s="10"/>
      <c r="M25" s="10"/>
      <c r="N25" s="10"/>
      <c r="O25" s="10"/>
      <c r="P25" s="10"/>
      <c r="Q25" s="10"/>
      <c r="R25" s="10"/>
      <c r="S25" s="10"/>
    </row>
    <row r="26" spans="1:19" x14ac:dyDescent="0.25">
      <c r="A26" s="2" t="s">
        <v>46</v>
      </c>
      <c r="B26" s="10">
        <v>433137</v>
      </c>
      <c r="C26" s="10">
        <v>402049</v>
      </c>
      <c r="D26" s="10">
        <v>434253</v>
      </c>
      <c r="E26" s="10">
        <v>403840</v>
      </c>
      <c r="F26" s="10">
        <v>463270</v>
      </c>
      <c r="G26" s="10">
        <v>509116</v>
      </c>
      <c r="H26" s="10">
        <v>522415</v>
      </c>
      <c r="I26" s="10">
        <v>513950</v>
      </c>
      <c r="J26" s="10">
        <v>445453</v>
      </c>
      <c r="K26" s="10">
        <v>435465</v>
      </c>
      <c r="L26" s="10">
        <v>414143</v>
      </c>
      <c r="M26" s="10">
        <v>289653</v>
      </c>
      <c r="N26" s="10">
        <v>181033</v>
      </c>
      <c r="O26" s="10">
        <v>176657</v>
      </c>
      <c r="P26" s="10">
        <v>282883</v>
      </c>
      <c r="Q26" s="10">
        <v>225461</v>
      </c>
      <c r="R26" s="10">
        <v>251686</v>
      </c>
      <c r="S26" s="10"/>
    </row>
    <row r="27" spans="1:19" x14ac:dyDescent="0.25">
      <c r="A27" s="2" t="s">
        <v>47</v>
      </c>
      <c r="B27" s="10">
        <v>737160</v>
      </c>
      <c r="C27" s="10">
        <v>709345</v>
      </c>
      <c r="D27" s="10">
        <v>810529</v>
      </c>
      <c r="E27" s="10">
        <v>756174</v>
      </c>
      <c r="F27" s="10">
        <v>595850</v>
      </c>
      <c r="G27" s="10">
        <v>552662</v>
      </c>
      <c r="H27" s="10">
        <v>856847</v>
      </c>
      <c r="I27" s="10">
        <v>682123</v>
      </c>
      <c r="J27" s="10">
        <v>506579</v>
      </c>
      <c r="K27" s="10">
        <v>464422</v>
      </c>
      <c r="L27" s="10">
        <v>563365</v>
      </c>
      <c r="M27" s="10">
        <v>328607</v>
      </c>
      <c r="N27" s="10">
        <v>342943</v>
      </c>
      <c r="O27" s="10">
        <v>461092</v>
      </c>
      <c r="P27" s="10">
        <v>495239</v>
      </c>
      <c r="Q27" s="10">
        <v>486151</v>
      </c>
      <c r="R27" s="10">
        <v>473219</v>
      </c>
      <c r="S27" s="10"/>
    </row>
    <row r="28" spans="1:19" x14ac:dyDescent="0.25">
      <c r="A28" s="2" t="s">
        <v>48</v>
      </c>
      <c r="B28" s="10">
        <v>565458</v>
      </c>
      <c r="C28" s="10">
        <v>659960</v>
      </c>
      <c r="D28" s="10">
        <v>685555</v>
      </c>
      <c r="E28" s="10">
        <v>695052</v>
      </c>
      <c r="F28" s="10">
        <v>658913</v>
      </c>
      <c r="G28" s="10">
        <v>616116</v>
      </c>
      <c r="H28" s="10">
        <v>815761</v>
      </c>
      <c r="I28" s="10">
        <v>741926</v>
      </c>
      <c r="J28" s="10">
        <v>698475</v>
      </c>
      <c r="K28" s="10">
        <v>603013</v>
      </c>
      <c r="L28" s="10">
        <v>566911</v>
      </c>
      <c r="M28" s="10">
        <v>421735</v>
      </c>
      <c r="N28" s="10">
        <v>325477</v>
      </c>
      <c r="O28" s="10">
        <v>286121</v>
      </c>
      <c r="P28" s="10">
        <v>312216</v>
      </c>
      <c r="Q28" s="10">
        <v>334961</v>
      </c>
      <c r="R28" s="10">
        <v>341766</v>
      </c>
      <c r="S28" s="10"/>
    </row>
    <row r="29" spans="1:19" x14ac:dyDescent="0.25">
      <c r="A29" s="2" t="s">
        <v>49</v>
      </c>
      <c r="B29" s="10">
        <v>0</v>
      </c>
      <c r="C29" s="10">
        <v>0</v>
      </c>
      <c r="D29" s="10">
        <v>0</v>
      </c>
      <c r="E29" s="10">
        <v>0</v>
      </c>
      <c r="F29" s="10">
        <v>0</v>
      </c>
      <c r="G29" s="10">
        <v>0</v>
      </c>
      <c r="H29" s="10">
        <v>336381</v>
      </c>
      <c r="I29" s="10">
        <v>332102</v>
      </c>
      <c r="J29" s="10">
        <v>314347</v>
      </c>
      <c r="K29" s="10">
        <v>287452</v>
      </c>
      <c r="L29" s="10">
        <v>238964</v>
      </c>
      <c r="M29" s="10">
        <v>0</v>
      </c>
      <c r="N29" s="10">
        <v>0</v>
      </c>
      <c r="O29" s="10">
        <v>0</v>
      </c>
      <c r="P29" s="10">
        <v>0</v>
      </c>
      <c r="Q29" s="10">
        <v>0</v>
      </c>
      <c r="R29" s="10">
        <v>0</v>
      </c>
      <c r="S29" s="10"/>
    </row>
    <row r="30" spans="1:19" x14ac:dyDescent="0.25">
      <c r="A30" s="2" t="s">
        <v>65</v>
      </c>
      <c r="B30" s="10">
        <v>0</v>
      </c>
      <c r="C30" s="10">
        <v>0</v>
      </c>
      <c r="D30" s="10">
        <v>0</v>
      </c>
      <c r="E30" s="10">
        <v>0</v>
      </c>
      <c r="F30" s="10">
        <v>0</v>
      </c>
      <c r="G30" s="10">
        <v>0</v>
      </c>
      <c r="H30" s="10">
        <v>0</v>
      </c>
      <c r="I30" s="10">
        <v>0</v>
      </c>
      <c r="J30" s="10">
        <v>3644</v>
      </c>
      <c r="K30" s="10">
        <v>397000</v>
      </c>
      <c r="L30" s="10">
        <v>0</v>
      </c>
      <c r="M30" s="10">
        <v>0</v>
      </c>
      <c r="N30" s="10">
        <v>0</v>
      </c>
      <c r="O30" s="10">
        <v>0</v>
      </c>
      <c r="P30" s="10">
        <v>0</v>
      </c>
      <c r="Q30" s="10">
        <v>0</v>
      </c>
      <c r="R30" s="10">
        <v>0</v>
      </c>
      <c r="S30" s="10"/>
    </row>
    <row r="31" spans="1:19" x14ac:dyDescent="0.25">
      <c r="A31" s="2" t="s">
        <v>226</v>
      </c>
      <c r="B31" s="10">
        <v>399101</v>
      </c>
      <c r="C31" s="10">
        <v>394357</v>
      </c>
      <c r="D31" s="10">
        <v>369497</v>
      </c>
      <c r="E31" s="10">
        <v>343912</v>
      </c>
      <c r="F31" s="10">
        <v>0</v>
      </c>
      <c r="G31" s="10">
        <v>0</v>
      </c>
      <c r="H31" s="10">
        <v>0</v>
      </c>
      <c r="I31" s="10">
        <v>0</v>
      </c>
      <c r="J31" s="10">
        <v>0</v>
      </c>
      <c r="K31" s="10">
        <v>0</v>
      </c>
      <c r="L31" s="10">
        <v>0</v>
      </c>
      <c r="M31" s="10">
        <v>0</v>
      </c>
      <c r="N31" s="10">
        <v>0</v>
      </c>
      <c r="O31" s="10">
        <v>0</v>
      </c>
      <c r="P31" s="10">
        <v>0</v>
      </c>
      <c r="Q31" s="10">
        <v>0</v>
      </c>
      <c r="R31" s="10">
        <v>0</v>
      </c>
      <c r="S31" s="10"/>
    </row>
    <row r="32" spans="1:19" x14ac:dyDescent="0.25">
      <c r="A32" s="2" t="s">
        <v>50</v>
      </c>
      <c r="B32" s="10">
        <v>185728</v>
      </c>
      <c r="C32" s="10">
        <v>179030</v>
      </c>
      <c r="D32" s="10">
        <v>168541</v>
      </c>
      <c r="E32" s="10">
        <v>130708</v>
      </c>
      <c r="F32" s="10">
        <v>1929369</v>
      </c>
      <c r="G32" s="10">
        <v>178213</v>
      </c>
      <c r="H32" s="10">
        <v>165041</v>
      </c>
      <c r="I32" s="10">
        <v>129037</v>
      </c>
      <c r="J32" s="10">
        <v>120154</v>
      </c>
      <c r="K32" s="10">
        <v>274697</v>
      </c>
      <c r="L32" s="10">
        <v>233042</v>
      </c>
      <c r="M32" s="10">
        <v>87345</v>
      </c>
      <c r="N32" s="10">
        <v>74892</v>
      </c>
      <c r="O32" s="10">
        <v>100007</v>
      </c>
      <c r="P32" s="10">
        <v>72725</v>
      </c>
      <c r="Q32" s="10">
        <v>23431</v>
      </c>
      <c r="R32" s="10">
        <v>20871</v>
      </c>
      <c r="S32" s="10"/>
    </row>
    <row r="33" spans="1:19" x14ac:dyDescent="0.25">
      <c r="A33" s="2" t="s">
        <v>64</v>
      </c>
      <c r="B33" s="10">
        <v>99863</v>
      </c>
      <c r="C33" s="10">
        <v>53792</v>
      </c>
      <c r="D33" s="10">
        <v>7768</v>
      </c>
      <c r="E33" s="10">
        <v>42412</v>
      </c>
      <c r="F33" s="10">
        <v>0</v>
      </c>
      <c r="G33" s="10">
        <v>0</v>
      </c>
      <c r="H33" s="10">
        <v>0</v>
      </c>
      <c r="I33" s="10">
        <v>0</v>
      </c>
      <c r="J33" s="10">
        <v>0</v>
      </c>
      <c r="K33" s="10">
        <v>0</v>
      </c>
      <c r="L33" s="10">
        <v>0</v>
      </c>
      <c r="M33" s="10">
        <v>37412</v>
      </c>
      <c r="N33" s="10">
        <v>0</v>
      </c>
      <c r="O33" s="10">
        <v>23064</v>
      </c>
      <c r="P33" s="10">
        <v>0</v>
      </c>
      <c r="Q33" s="10">
        <v>16492</v>
      </c>
      <c r="R33" s="10">
        <v>24630</v>
      </c>
      <c r="S33" s="10"/>
    </row>
    <row r="34" spans="1:19" x14ac:dyDescent="0.25">
      <c r="A34" s="2" t="s">
        <v>222</v>
      </c>
      <c r="B34" s="10">
        <v>0</v>
      </c>
      <c r="C34" s="10">
        <v>0</v>
      </c>
      <c r="D34" s="10">
        <v>0</v>
      </c>
      <c r="E34" s="10">
        <v>0</v>
      </c>
      <c r="F34" s="10">
        <v>1243759</v>
      </c>
      <c r="G34" s="10">
        <v>1185070</v>
      </c>
      <c r="H34" s="10">
        <v>0</v>
      </c>
      <c r="I34" s="10">
        <v>0</v>
      </c>
      <c r="J34" s="10">
        <v>0</v>
      </c>
      <c r="K34" s="10">
        <v>0</v>
      </c>
      <c r="L34" s="10">
        <v>0</v>
      </c>
      <c r="M34" s="10">
        <v>0</v>
      </c>
      <c r="N34" s="10">
        <v>0</v>
      </c>
      <c r="O34" s="10">
        <v>0</v>
      </c>
      <c r="P34" s="10">
        <v>0</v>
      </c>
      <c r="Q34" s="10">
        <v>0</v>
      </c>
      <c r="R34" s="10">
        <v>0</v>
      </c>
      <c r="S34" s="10"/>
    </row>
    <row r="35" spans="1:19" x14ac:dyDescent="0.25">
      <c r="A35" s="2" t="s">
        <v>51</v>
      </c>
      <c r="B35" s="11">
        <f>SUM(B26:B34)</f>
        <v>2420447</v>
      </c>
      <c r="C35" s="11">
        <f t="shared" ref="C35:R35" si="3">SUM(C26:C34)</f>
        <v>2398533</v>
      </c>
      <c r="D35" s="11">
        <f t="shared" si="3"/>
        <v>2476143</v>
      </c>
      <c r="E35" s="11">
        <f t="shared" si="3"/>
        <v>2372098</v>
      </c>
      <c r="F35" s="11">
        <f t="shared" si="3"/>
        <v>4891161</v>
      </c>
      <c r="G35" s="11">
        <f t="shared" si="3"/>
        <v>3041177</v>
      </c>
      <c r="H35" s="11">
        <f t="shared" si="3"/>
        <v>2696445</v>
      </c>
      <c r="I35" s="11">
        <f t="shared" si="3"/>
        <v>2399138</v>
      </c>
      <c r="J35" s="11">
        <f t="shared" si="3"/>
        <v>2088652</v>
      </c>
      <c r="K35" s="11">
        <f t="shared" si="3"/>
        <v>2462049</v>
      </c>
      <c r="L35" s="11">
        <f t="shared" si="3"/>
        <v>2016425</v>
      </c>
      <c r="M35" s="11">
        <f t="shared" si="3"/>
        <v>1164752</v>
      </c>
      <c r="N35" s="11">
        <f t="shared" si="3"/>
        <v>924345</v>
      </c>
      <c r="O35" s="11">
        <f t="shared" si="3"/>
        <v>1046941</v>
      </c>
      <c r="P35" s="11">
        <f t="shared" si="3"/>
        <v>1163063</v>
      </c>
      <c r="Q35" s="11">
        <f t="shared" si="3"/>
        <v>1086496</v>
      </c>
      <c r="R35" s="11">
        <f t="shared" si="3"/>
        <v>1112172</v>
      </c>
      <c r="S35" s="10"/>
    </row>
    <row r="36" spans="1:19" x14ac:dyDescent="0.25">
      <c r="A36" s="2" t="s">
        <v>227</v>
      </c>
      <c r="B36" s="16">
        <v>2622039</v>
      </c>
      <c r="C36" s="16">
        <v>2672713</v>
      </c>
      <c r="D36" s="16">
        <v>2738670</v>
      </c>
      <c r="E36" s="16">
        <v>2723800</v>
      </c>
      <c r="F36" s="16">
        <v>0</v>
      </c>
      <c r="G36" s="16">
        <v>0</v>
      </c>
      <c r="H36" s="16">
        <v>0</v>
      </c>
      <c r="I36" s="16">
        <v>0</v>
      </c>
      <c r="J36" s="16">
        <v>0</v>
      </c>
      <c r="K36" s="16">
        <v>0</v>
      </c>
      <c r="L36" s="16">
        <v>0</v>
      </c>
      <c r="M36" s="16">
        <v>0</v>
      </c>
      <c r="N36" s="16">
        <v>0</v>
      </c>
      <c r="O36" s="16">
        <v>0</v>
      </c>
      <c r="P36" s="16">
        <v>0</v>
      </c>
      <c r="Q36" s="16">
        <v>0</v>
      </c>
      <c r="R36" s="16">
        <v>0</v>
      </c>
      <c r="S36" s="10"/>
    </row>
    <row r="37" spans="1:19" x14ac:dyDescent="0.25">
      <c r="A37" s="2" t="s">
        <v>52</v>
      </c>
      <c r="B37" s="10">
        <v>8687487</v>
      </c>
      <c r="C37" s="10">
        <v>8729150</v>
      </c>
      <c r="D37" s="10">
        <v>7917263</v>
      </c>
      <c r="E37" s="10">
        <v>7977526</v>
      </c>
      <c r="F37" s="10">
        <v>8172847</v>
      </c>
      <c r="G37" s="10">
        <v>9158018</v>
      </c>
      <c r="H37" s="10">
        <v>8947327</v>
      </c>
      <c r="I37" s="10">
        <v>9001308</v>
      </c>
      <c r="J37" s="10">
        <v>8383280</v>
      </c>
      <c r="K37" s="10">
        <v>8141231</v>
      </c>
      <c r="L37" s="10">
        <v>8326534</v>
      </c>
      <c r="M37" s="10">
        <v>4417624</v>
      </c>
      <c r="N37" s="10">
        <v>4233850</v>
      </c>
      <c r="O37" s="10">
        <v>3532217</v>
      </c>
      <c r="P37" s="10">
        <v>3622421</v>
      </c>
      <c r="Q37" s="10">
        <v>3683887</v>
      </c>
      <c r="R37" s="10">
        <v>3730380</v>
      </c>
      <c r="S37" s="10"/>
    </row>
    <row r="38" spans="1:19" x14ac:dyDescent="0.25">
      <c r="A38" s="2" t="s">
        <v>53</v>
      </c>
      <c r="B38" s="10">
        <v>108954</v>
      </c>
      <c r="C38" s="10">
        <v>119158</v>
      </c>
      <c r="D38" s="10">
        <v>150060</v>
      </c>
      <c r="E38" s="10">
        <v>160809</v>
      </c>
      <c r="F38" s="10">
        <v>450669</v>
      </c>
      <c r="G38" s="10">
        <v>365325</v>
      </c>
      <c r="H38" s="10">
        <v>465358</v>
      </c>
      <c r="I38" s="10">
        <v>439229</v>
      </c>
      <c r="J38" s="10">
        <v>389806</v>
      </c>
      <c r="K38" s="10">
        <v>371010</v>
      </c>
      <c r="L38" s="10">
        <v>443743</v>
      </c>
      <c r="M38" s="10">
        <v>132006</v>
      </c>
      <c r="N38" s="10">
        <v>89290</v>
      </c>
      <c r="O38" s="10">
        <v>87692</v>
      </c>
      <c r="P38" s="10">
        <v>101442</v>
      </c>
      <c r="Q38" s="10">
        <v>83448</v>
      </c>
      <c r="R38" s="10">
        <v>50076</v>
      </c>
      <c r="S38" s="10"/>
    </row>
    <row r="39" spans="1:19" x14ac:dyDescent="0.25">
      <c r="A39" s="2" t="s">
        <v>66</v>
      </c>
      <c r="B39" s="10">
        <v>0</v>
      </c>
      <c r="C39" s="10">
        <v>0</v>
      </c>
      <c r="D39" s="10">
        <v>0</v>
      </c>
      <c r="E39" s="10">
        <v>0</v>
      </c>
      <c r="F39" s="10">
        <v>0</v>
      </c>
      <c r="G39" s="10">
        <v>0</v>
      </c>
      <c r="H39" s="10">
        <v>0</v>
      </c>
      <c r="I39" s="10">
        <v>0</v>
      </c>
      <c r="J39" s="10">
        <v>0</v>
      </c>
      <c r="K39" s="10">
        <v>9327</v>
      </c>
      <c r="L39" s="10">
        <v>14657</v>
      </c>
      <c r="M39" s="10">
        <v>19987</v>
      </c>
      <c r="N39" s="10">
        <v>25317</v>
      </c>
      <c r="O39" s="10">
        <v>30647</v>
      </c>
      <c r="P39" s="10">
        <v>35977</v>
      </c>
      <c r="Q39" s="10">
        <v>41307</v>
      </c>
      <c r="R39" s="10">
        <v>105263</v>
      </c>
      <c r="S39" s="10"/>
    </row>
    <row r="40" spans="1:19" x14ac:dyDescent="0.25">
      <c r="A40" s="2" t="s">
        <v>54</v>
      </c>
      <c r="B40" s="10">
        <v>839003</v>
      </c>
      <c r="C40" s="10">
        <v>830954</v>
      </c>
      <c r="D40" s="10">
        <v>809600</v>
      </c>
      <c r="E40" s="10">
        <v>577543</v>
      </c>
      <c r="F40" s="10">
        <v>562536</v>
      </c>
      <c r="G40" s="10">
        <v>486247</v>
      </c>
      <c r="H40" s="10">
        <v>809128</v>
      </c>
      <c r="I40" s="10">
        <v>726962</v>
      </c>
      <c r="J40" s="10">
        <v>890701</v>
      </c>
      <c r="K40" s="10">
        <v>812419</v>
      </c>
      <c r="L40" s="10">
        <v>715657</v>
      </c>
      <c r="M40" s="10">
        <v>423098</v>
      </c>
      <c r="N40" s="10">
        <v>421436</v>
      </c>
      <c r="O40" s="10">
        <v>334855</v>
      </c>
      <c r="P40" s="10">
        <v>244884</v>
      </c>
      <c r="Q40" s="10">
        <v>166055</v>
      </c>
      <c r="R40" s="10">
        <v>125642</v>
      </c>
      <c r="S40" s="10"/>
    </row>
    <row r="41" spans="1:19" x14ac:dyDescent="0.25">
      <c r="A41" s="2" t="s">
        <v>223</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row>
    <row r="42" spans="1:19" x14ac:dyDescent="0.25">
      <c r="A42" s="12" t="s">
        <v>55</v>
      </c>
      <c r="B42" s="14">
        <f>SUM(B35:B41)</f>
        <v>14677930</v>
      </c>
      <c r="C42" s="14">
        <f t="shared" ref="C42:R42" si="4">SUM(C35:C41)</f>
        <v>14750508</v>
      </c>
      <c r="D42" s="14">
        <f t="shared" si="4"/>
        <v>14091736</v>
      </c>
      <c r="E42" s="14">
        <f t="shared" si="4"/>
        <v>13811776</v>
      </c>
      <c r="F42" s="14">
        <f t="shared" si="4"/>
        <v>14077213</v>
      </c>
      <c r="G42" s="14">
        <f t="shared" si="4"/>
        <v>13050767</v>
      </c>
      <c r="H42" s="14">
        <f t="shared" si="4"/>
        <v>12918258</v>
      </c>
      <c r="I42" s="14">
        <f t="shared" si="4"/>
        <v>12566637</v>
      </c>
      <c r="J42" s="14">
        <f t="shared" si="4"/>
        <v>11752439</v>
      </c>
      <c r="K42" s="14">
        <f t="shared" si="4"/>
        <v>11796036</v>
      </c>
      <c r="L42" s="14">
        <f t="shared" si="4"/>
        <v>11517016</v>
      </c>
      <c r="M42" s="14">
        <f t="shared" si="4"/>
        <v>6157467</v>
      </c>
      <c r="N42" s="14">
        <f t="shared" si="4"/>
        <v>5694238</v>
      </c>
      <c r="O42" s="14">
        <f t="shared" si="4"/>
        <v>5032352</v>
      </c>
      <c r="P42" s="14">
        <f t="shared" si="4"/>
        <v>5167787</v>
      </c>
      <c r="Q42" s="14">
        <f t="shared" si="4"/>
        <v>5061193</v>
      </c>
      <c r="R42" s="14">
        <f t="shared" si="4"/>
        <v>5123533</v>
      </c>
      <c r="S42" s="10"/>
    </row>
    <row r="43" spans="1:19" x14ac:dyDescent="0.25">
      <c r="A43" s="2" t="s">
        <v>56</v>
      </c>
      <c r="B43" s="10">
        <v>1390757</v>
      </c>
      <c r="C43" s="10">
        <v>1434832</v>
      </c>
      <c r="D43" s="10">
        <v>1330028</v>
      </c>
      <c r="E43" s="10">
        <v>1180376</v>
      </c>
      <c r="F43" s="10">
        <v>1124641</v>
      </c>
      <c r="G43" s="10">
        <v>1011360</v>
      </c>
      <c r="H43" s="10">
        <v>973258</v>
      </c>
      <c r="I43" s="10">
        <v>864066</v>
      </c>
      <c r="J43" s="10">
        <v>829965</v>
      </c>
      <c r="K43" s="10">
        <v>697300</v>
      </c>
      <c r="L43" s="10">
        <v>580692</v>
      </c>
      <c r="M43" s="10">
        <v>478216</v>
      </c>
      <c r="N43" s="10">
        <v>383052</v>
      </c>
      <c r="O43" s="10">
        <v>331725</v>
      </c>
      <c r="P43" s="10">
        <v>291397</v>
      </c>
      <c r="Q43" s="10">
        <v>150517</v>
      </c>
      <c r="R43" s="10">
        <v>122359</v>
      </c>
      <c r="S43" s="10"/>
    </row>
    <row r="44" spans="1:19" x14ac:dyDescent="0.25">
      <c r="A44" s="2" t="s">
        <v>57</v>
      </c>
      <c r="B44" s="10"/>
      <c r="C44" s="10"/>
      <c r="D44" s="10"/>
      <c r="E44" s="10"/>
      <c r="F44" s="10"/>
      <c r="G44" s="10"/>
      <c r="H44" s="10"/>
      <c r="I44" s="10"/>
      <c r="J44" s="10"/>
      <c r="K44" s="10"/>
      <c r="L44" s="10"/>
      <c r="M44" s="10"/>
      <c r="N44" s="10"/>
      <c r="O44" s="10"/>
      <c r="P44" s="10"/>
      <c r="Q44" s="10"/>
      <c r="R44" s="10"/>
      <c r="S44" s="10"/>
    </row>
    <row r="45" spans="1:19" x14ac:dyDescent="0.25">
      <c r="A45" s="2" t="s">
        <v>5</v>
      </c>
      <c r="B45" s="10">
        <v>97</v>
      </c>
      <c r="C45" s="10">
        <v>97</v>
      </c>
      <c r="D45" s="10">
        <v>110</v>
      </c>
      <c r="E45" s="10">
        <v>126</v>
      </c>
      <c r="F45" s="10">
        <v>166</v>
      </c>
      <c r="G45" s="10">
        <v>182</v>
      </c>
      <c r="H45" s="10">
        <v>195</v>
      </c>
      <c r="I45" s="10">
        <v>217</v>
      </c>
      <c r="J45" s="10">
        <v>216</v>
      </c>
      <c r="K45" s="10">
        <v>213</v>
      </c>
      <c r="L45" s="10">
        <v>270</v>
      </c>
      <c r="M45" s="10">
        <v>135</v>
      </c>
      <c r="N45" s="10">
        <v>135</v>
      </c>
      <c r="O45" s="10">
        <v>135</v>
      </c>
      <c r="P45" s="10">
        <v>135</v>
      </c>
      <c r="Q45" s="10">
        <v>135</v>
      </c>
      <c r="R45" s="10">
        <v>135</v>
      </c>
      <c r="S45" s="10"/>
    </row>
    <row r="46" spans="1:19" x14ac:dyDescent="0.25">
      <c r="A46" s="2" t="s">
        <v>16</v>
      </c>
      <c r="B46" s="10">
        <v>595403</v>
      </c>
      <c r="C46" s="10">
        <v>540321</v>
      </c>
      <c r="D46" s="10">
        <v>597073</v>
      </c>
      <c r="E46" s="10">
        <v>749043</v>
      </c>
      <c r="F46" s="10">
        <v>995006</v>
      </c>
      <c r="G46" s="10">
        <v>1042899</v>
      </c>
      <c r="H46" s="10">
        <v>1027182</v>
      </c>
      <c r="I46" s="10">
        <v>1118326</v>
      </c>
      <c r="J46" s="10">
        <v>1108211</v>
      </c>
      <c r="K46" s="10">
        <v>1070922</v>
      </c>
      <c r="L46" s="10">
        <v>1208665</v>
      </c>
      <c r="M46" s="10">
        <v>596300</v>
      </c>
      <c r="N46" s="10">
        <v>620546</v>
      </c>
      <c r="O46" s="10">
        <v>621685</v>
      </c>
      <c r="P46" s="10">
        <v>584358</v>
      </c>
      <c r="Q46" s="10">
        <v>707080</v>
      </c>
      <c r="R46" s="10">
        <v>630091</v>
      </c>
      <c r="S46" s="10"/>
    </row>
    <row r="47" spans="1:19" x14ac:dyDescent="0.25">
      <c r="A47" s="2" t="s">
        <v>9</v>
      </c>
      <c r="B47" s="10">
        <v>516459</v>
      </c>
      <c r="C47" s="10">
        <v>354337</v>
      </c>
      <c r="D47" s="10">
        <v>852537</v>
      </c>
      <c r="E47" s="10">
        <v>1431738</v>
      </c>
      <c r="F47" s="10">
        <v>2743194</v>
      </c>
      <c r="G47" s="10">
        <v>3633713</v>
      </c>
      <c r="H47" s="10">
        <v>3710313</v>
      </c>
      <c r="I47" s="10">
        <v>4356835</v>
      </c>
      <c r="J47" s="10">
        <v>4087103</v>
      </c>
      <c r="K47" s="10">
        <v>3363989</v>
      </c>
      <c r="L47" s="10">
        <v>3731835</v>
      </c>
      <c r="M47" s="10">
        <v>3195818</v>
      </c>
      <c r="N47" s="10">
        <v>2717817</v>
      </c>
      <c r="O47" s="10">
        <v>2312134</v>
      </c>
      <c r="P47" s="10">
        <v>1889450</v>
      </c>
      <c r="Q47" s="10">
        <v>1515290</v>
      </c>
      <c r="R47" s="10">
        <v>1129621</v>
      </c>
      <c r="S47" s="10"/>
    </row>
    <row r="48" spans="1:19" x14ac:dyDescent="0.25">
      <c r="A48" s="2" t="s">
        <v>17</v>
      </c>
      <c r="B48" s="10">
        <v>-233318</v>
      </c>
      <c r="C48" s="10">
        <v>0</v>
      </c>
      <c r="D48" s="10">
        <v>0</v>
      </c>
      <c r="E48" s="10">
        <v>0</v>
      </c>
      <c r="F48" s="10">
        <v>0</v>
      </c>
      <c r="G48" s="10">
        <v>0</v>
      </c>
      <c r="H48" s="10">
        <v>0</v>
      </c>
      <c r="I48" s="10">
        <v>-544772</v>
      </c>
      <c r="J48" s="10">
        <v>0</v>
      </c>
      <c r="K48" s="10">
        <v>0</v>
      </c>
      <c r="L48" s="10">
        <v>-1162336</v>
      </c>
      <c r="M48" s="10">
        <v>-1631694</v>
      </c>
      <c r="N48" s="10">
        <v>-1360579</v>
      </c>
      <c r="O48" s="10">
        <v>-793340</v>
      </c>
      <c r="P48" s="10">
        <v>-691857</v>
      </c>
      <c r="Q48" s="10">
        <v>-487744</v>
      </c>
      <c r="R48" s="10">
        <v>-526920</v>
      </c>
      <c r="S48" s="10"/>
    </row>
    <row r="49" spans="1:19" x14ac:dyDescent="0.25">
      <c r="A49" s="2" t="s">
        <v>58</v>
      </c>
      <c r="B49" s="10">
        <v>-34870</v>
      </c>
      <c r="C49" s="10">
        <v>-139247</v>
      </c>
      <c r="D49" s="10">
        <v>-66154</v>
      </c>
      <c r="E49" s="10">
        <v>-47498</v>
      </c>
      <c r="F49" s="10">
        <v>-34924</v>
      </c>
      <c r="G49" s="10">
        <v>13235</v>
      </c>
      <c r="H49" s="10">
        <v>-89643</v>
      </c>
      <c r="I49" s="10">
        <v>-59826</v>
      </c>
      <c r="J49" s="10">
        <v>-25017</v>
      </c>
      <c r="K49" s="10">
        <v>-2645</v>
      </c>
      <c r="L49" s="10">
        <v>-15297</v>
      </c>
      <c r="M49" s="10">
        <v>-19484</v>
      </c>
      <c r="N49" s="10">
        <v>503</v>
      </c>
      <c r="O49" s="10">
        <v>-5548</v>
      </c>
      <c r="P49" s="10">
        <v>-14339</v>
      </c>
      <c r="Q49" s="10">
        <v>-2511</v>
      </c>
      <c r="R49" s="10">
        <v>12997</v>
      </c>
      <c r="S49" s="10"/>
    </row>
    <row r="50" spans="1:19" x14ac:dyDescent="0.25">
      <c r="A50" s="2" t="s">
        <v>59</v>
      </c>
      <c r="B50" s="14">
        <f t="shared" ref="B50:G50" si="5">SUM(B45:B49)</f>
        <v>843771</v>
      </c>
      <c r="C50" s="14">
        <f t="shared" si="5"/>
        <v>755508</v>
      </c>
      <c r="D50" s="14">
        <f t="shared" si="5"/>
        <v>1383566</v>
      </c>
      <c r="E50" s="14">
        <f t="shared" si="5"/>
        <v>2133409</v>
      </c>
      <c r="F50" s="14">
        <f t="shared" si="5"/>
        <v>3703442</v>
      </c>
      <c r="G50" s="14">
        <f t="shared" si="5"/>
        <v>4690029</v>
      </c>
      <c r="H50" s="14">
        <f>SUM(H45:H49)</f>
        <v>4648047</v>
      </c>
      <c r="I50" s="14">
        <f t="shared" ref="I50:R50" si="6">SUM(I45:I49)</f>
        <v>4870780</v>
      </c>
      <c r="J50" s="14">
        <f t="shared" si="6"/>
        <v>5170513</v>
      </c>
      <c r="K50" s="14">
        <f t="shared" si="6"/>
        <v>4432479</v>
      </c>
      <c r="L50" s="14">
        <f t="shared" si="6"/>
        <v>3763137</v>
      </c>
      <c r="M50" s="14">
        <f t="shared" si="6"/>
        <v>2141075</v>
      </c>
      <c r="N50" s="14">
        <f t="shared" si="6"/>
        <v>1978422</v>
      </c>
      <c r="O50" s="14">
        <f t="shared" si="6"/>
        <v>2135066</v>
      </c>
      <c r="P50" s="14">
        <f t="shared" si="6"/>
        <v>1767747</v>
      </c>
      <c r="Q50" s="14">
        <f t="shared" si="6"/>
        <v>1732250</v>
      </c>
      <c r="R50" s="14">
        <f t="shared" si="6"/>
        <v>1245924</v>
      </c>
      <c r="S50" s="10"/>
    </row>
    <row r="51" spans="1:19" x14ac:dyDescent="0.25">
      <c r="A51" s="2" t="s">
        <v>60</v>
      </c>
      <c r="B51" s="10">
        <v>174552</v>
      </c>
      <c r="C51" s="10">
        <v>180640</v>
      </c>
      <c r="D51" s="10">
        <v>183186</v>
      </c>
      <c r="E51" s="10">
        <v>185833</v>
      </c>
      <c r="F51" s="10">
        <v>204956</v>
      </c>
      <c r="G51" s="10">
        <v>196037</v>
      </c>
      <c r="H51" s="10">
        <v>201694</v>
      </c>
      <c r="I51" s="10">
        <v>213392</v>
      </c>
      <c r="J51" s="10">
        <v>189798</v>
      </c>
      <c r="K51" s="10">
        <v>173062</v>
      </c>
      <c r="L51" s="10">
        <v>153788</v>
      </c>
      <c r="M51" s="10">
        <v>127050</v>
      </c>
      <c r="N51" s="10">
        <v>58712</v>
      </c>
      <c r="O51" s="10">
        <v>59093</v>
      </c>
      <c r="P51" s="10">
        <v>59152</v>
      </c>
      <c r="Q51" s="10">
        <v>0</v>
      </c>
      <c r="R51" s="10">
        <v>0</v>
      </c>
      <c r="S51" s="10"/>
    </row>
    <row r="52" spans="1:19" x14ac:dyDescent="0.25">
      <c r="A52" s="12" t="s">
        <v>61</v>
      </c>
      <c r="B52" s="14">
        <f t="shared" ref="B52:G52" si="7">SUM(B50:B51)</f>
        <v>1018323</v>
      </c>
      <c r="C52" s="14">
        <f t="shared" si="7"/>
        <v>936148</v>
      </c>
      <c r="D52" s="14">
        <f t="shared" si="7"/>
        <v>1566752</v>
      </c>
      <c r="E52" s="14">
        <f t="shared" si="7"/>
        <v>2319242</v>
      </c>
      <c r="F52" s="14">
        <f t="shared" si="7"/>
        <v>3908398</v>
      </c>
      <c r="G52" s="14">
        <f t="shared" si="7"/>
        <v>4886066</v>
      </c>
      <c r="H52" s="14">
        <f>SUM(H50:H51)</f>
        <v>4849741</v>
      </c>
      <c r="I52" s="14">
        <f t="shared" ref="I52:R52" si="8">SUM(I50:I51)</f>
        <v>5084172</v>
      </c>
      <c r="J52" s="14">
        <f t="shared" si="8"/>
        <v>5360311</v>
      </c>
      <c r="K52" s="14">
        <f t="shared" si="8"/>
        <v>4605541</v>
      </c>
      <c r="L52" s="14">
        <f t="shared" si="8"/>
        <v>3916925</v>
      </c>
      <c r="M52" s="14">
        <f t="shared" si="8"/>
        <v>2268125</v>
      </c>
      <c r="N52" s="14">
        <f t="shared" si="8"/>
        <v>2037134</v>
      </c>
      <c r="O52" s="14">
        <f t="shared" si="8"/>
        <v>2194159</v>
      </c>
      <c r="P52" s="14">
        <f t="shared" si="8"/>
        <v>1826899</v>
      </c>
      <c r="Q52" s="14">
        <f t="shared" si="8"/>
        <v>1732250</v>
      </c>
      <c r="R52" s="14">
        <f t="shared" si="8"/>
        <v>1245924</v>
      </c>
      <c r="S52" s="10"/>
    </row>
    <row r="53" spans="1:19" ht="20" thickBot="1" x14ac:dyDescent="0.3">
      <c r="A53" s="12" t="s">
        <v>62</v>
      </c>
      <c r="B53" s="13">
        <f t="shared" ref="B53:G53" si="9">B42+B43+B50+B51</f>
        <v>17087010</v>
      </c>
      <c r="C53" s="13">
        <f t="shared" si="9"/>
        <v>17121488</v>
      </c>
      <c r="D53" s="13">
        <f t="shared" si="9"/>
        <v>16988516</v>
      </c>
      <c r="E53" s="13">
        <f t="shared" si="9"/>
        <v>17311394</v>
      </c>
      <c r="F53" s="13">
        <f t="shared" si="9"/>
        <v>19110252</v>
      </c>
      <c r="G53" s="13">
        <f t="shared" si="9"/>
        <v>18948193</v>
      </c>
      <c r="H53" s="13">
        <f>H42+H43+H50+H51</f>
        <v>18741257</v>
      </c>
      <c r="I53" s="13">
        <f t="shared" ref="I53:R53" si="10">I42+I43+I50+I51</f>
        <v>18514875</v>
      </c>
      <c r="J53" s="13">
        <f t="shared" si="10"/>
        <v>17942715</v>
      </c>
      <c r="K53" s="13">
        <f t="shared" si="10"/>
        <v>17098877</v>
      </c>
      <c r="L53" s="13">
        <f t="shared" si="10"/>
        <v>16014633</v>
      </c>
      <c r="M53" s="13">
        <f t="shared" si="10"/>
        <v>8903808</v>
      </c>
      <c r="N53" s="13">
        <f t="shared" si="10"/>
        <v>8114424</v>
      </c>
      <c r="O53" s="13">
        <f t="shared" si="10"/>
        <v>7558236</v>
      </c>
      <c r="P53" s="13">
        <f t="shared" si="10"/>
        <v>7286083</v>
      </c>
      <c r="Q53" s="13">
        <f t="shared" si="10"/>
        <v>6943960</v>
      </c>
      <c r="R53" s="13">
        <f t="shared" si="10"/>
        <v>6491816</v>
      </c>
      <c r="S53" s="10"/>
    </row>
    <row r="54" spans="1:19" ht="20" thickTop="1" x14ac:dyDescent="0.25">
      <c r="B54" s="10">
        <f t="shared" ref="B54:G54" si="11">B53-B24</f>
        <v>0</v>
      </c>
      <c r="C54" s="10">
        <f t="shared" si="11"/>
        <v>0</v>
      </c>
      <c r="D54" s="10">
        <f t="shared" si="11"/>
        <v>0</v>
      </c>
      <c r="E54" s="10">
        <f t="shared" si="11"/>
        <v>0</v>
      </c>
      <c r="F54" s="10">
        <f t="shared" si="11"/>
        <v>0</v>
      </c>
      <c r="G54" s="10">
        <f t="shared" si="11"/>
        <v>0</v>
      </c>
      <c r="H54" s="10">
        <f>H53-H24</f>
        <v>0</v>
      </c>
      <c r="I54" s="10">
        <f t="shared" ref="I54:R54" si="12">I53-I24</f>
        <v>0</v>
      </c>
      <c r="J54" s="10">
        <f t="shared" si="12"/>
        <v>0</v>
      </c>
      <c r="K54" s="10">
        <f t="shared" si="12"/>
        <v>0</v>
      </c>
      <c r="L54" s="10">
        <f t="shared" si="12"/>
        <v>0</v>
      </c>
      <c r="M54" s="10">
        <f t="shared" si="12"/>
        <v>0</v>
      </c>
      <c r="N54" s="10">
        <f t="shared" si="12"/>
        <v>0</v>
      </c>
      <c r="O54" s="10">
        <f t="shared" si="12"/>
        <v>0</v>
      </c>
      <c r="P54" s="10">
        <f t="shared" si="12"/>
        <v>0</v>
      </c>
      <c r="Q54" s="10">
        <f t="shared" si="12"/>
        <v>0</v>
      </c>
      <c r="R54" s="10">
        <f t="shared" si="12"/>
        <v>0</v>
      </c>
      <c r="S54" s="10"/>
    </row>
    <row r="55" spans="1:19" x14ac:dyDescent="0.25">
      <c r="A55" s="2" t="s">
        <v>6</v>
      </c>
      <c r="B55" s="10">
        <v>95238</v>
      </c>
      <c r="C55" s="10">
        <v>97289</v>
      </c>
      <c r="D55" s="10">
        <v>109933</v>
      </c>
      <c r="E55" s="10">
        <v>125842.853</v>
      </c>
      <c r="F55" s="10">
        <v>166387.307</v>
      </c>
      <c r="G55" s="10">
        <v>182462.27799999999</v>
      </c>
      <c r="H55" s="10">
        <v>194554.49100000001</v>
      </c>
      <c r="I55" s="10">
        <v>209754.247</v>
      </c>
      <c r="J55" s="10">
        <v>215640.96799999999</v>
      </c>
      <c r="K55" s="10">
        <v>213163.24799999999</v>
      </c>
      <c r="L55" s="10">
        <v>210997.15</v>
      </c>
      <c r="M55" s="10">
        <f>93641.363*2</f>
        <v>187282.726</v>
      </c>
      <c r="N55" s="10">
        <f>96001.535*2</f>
        <v>192003.07</v>
      </c>
      <c r="O55" s="10">
        <f>103062.698*2</f>
        <v>206125.39600000001</v>
      </c>
      <c r="P55" s="10">
        <f>103753.673*2</f>
        <v>207507.34599999999</v>
      </c>
      <c r="Q55" s="10">
        <f>107130.127*2</f>
        <v>214260.25399999999</v>
      </c>
      <c r="R55" s="10">
        <f>104636.608*2</f>
        <v>209273.21599999999</v>
      </c>
      <c r="S55" s="10"/>
    </row>
    <row r="56" spans="1:19" x14ac:dyDescent="0.25">
      <c r="A56" s="2" t="s">
        <v>2</v>
      </c>
      <c r="B56" s="15">
        <f t="shared" ref="B56:G56" si="13">B50/B55</f>
        <v>8.8596043596043597</v>
      </c>
      <c r="C56" s="15">
        <f t="shared" si="13"/>
        <v>7.765605566919179</v>
      </c>
      <c r="D56" s="15">
        <f t="shared" si="13"/>
        <v>12.58553846433737</v>
      </c>
      <c r="E56" s="15">
        <f t="shared" si="13"/>
        <v>16.952961166574951</v>
      </c>
      <c r="F56" s="15">
        <f t="shared" si="13"/>
        <v>22.257959857478792</v>
      </c>
      <c r="G56" s="15">
        <f t="shared" si="13"/>
        <v>25.704101973340485</v>
      </c>
      <c r="H56" s="15">
        <f>H50/H55</f>
        <v>23.890720672184329</v>
      </c>
      <c r="I56" s="15">
        <f>I50/I55</f>
        <v>23.221365334261861</v>
      </c>
      <c r="J56" s="15">
        <f t="shared" ref="J56:R56" si="14">J50/J55</f>
        <v>23.977415089325699</v>
      </c>
      <c r="K56" s="15">
        <f t="shared" si="14"/>
        <v>20.793823708297033</v>
      </c>
      <c r="L56" s="15">
        <f t="shared" si="14"/>
        <v>17.835013411318588</v>
      </c>
      <c r="M56" s="15">
        <f t="shared" si="14"/>
        <v>11.43231437158812</v>
      </c>
      <c r="N56" s="15">
        <f t="shared" si="14"/>
        <v>10.304116491470683</v>
      </c>
      <c r="O56" s="15">
        <f t="shared" si="14"/>
        <v>10.358092896034993</v>
      </c>
      <c r="P56" s="15">
        <f t="shared" si="14"/>
        <v>8.5189610588533089</v>
      </c>
      <c r="Q56" s="15">
        <f t="shared" si="14"/>
        <v>8.0847939254286523</v>
      </c>
      <c r="R56" s="15">
        <f t="shared" si="14"/>
        <v>5.9535760180605246</v>
      </c>
      <c r="S56" s="10"/>
    </row>
    <row r="57" spans="1:19" x14ac:dyDescent="0.25">
      <c r="A57" s="2" t="s">
        <v>63</v>
      </c>
      <c r="B57" s="15">
        <f t="shared" ref="B57:G57" si="15">(B50-B19-B23)/B55</f>
        <v>-67.412461412461411</v>
      </c>
      <c r="C57" s="15">
        <f t="shared" si="15"/>
        <v>-66.486714839293242</v>
      </c>
      <c r="D57" s="15">
        <f t="shared" si="15"/>
        <v>-51.869120282353798</v>
      </c>
      <c r="E57" s="15">
        <f t="shared" si="15"/>
        <v>-38.062630382354726</v>
      </c>
      <c r="F57" s="15">
        <f t="shared" si="15"/>
        <v>-19.576998142051785</v>
      </c>
      <c r="G57" s="15">
        <f t="shared" si="15"/>
        <v>-11.147931628914554</v>
      </c>
      <c r="H57" s="15">
        <f>(H50-H19-H23)/H55</f>
        <v>-32.315044323494952</v>
      </c>
      <c r="I57" s="15">
        <f t="shared" ref="I57:R57" si="16">(I50-I19-I23)/I55</f>
        <v>-29.134213430252977</v>
      </c>
      <c r="J57" s="15">
        <f t="shared" si="16"/>
        <v>-28.724968439206783</v>
      </c>
      <c r="K57" s="15">
        <f t="shared" si="16"/>
        <v>-31.92327037538854</v>
      </c>
      <c r="L57" s="15">
        <f t="shared" si="16"/>
        <v>-34.681658022395091</v>
      </c>
      <c r="M57" s="15">
        <f t="shared" si="16"/>
        <v>-15.833772090651863</v>
      </c>
      <c r="N57" s="15">
        <f t="shared" si="16"/>
        <v>-11.851477166484889</v>
      </c>
      <c r="O57" s="15">
        <f t="shared" si="16"/>
        <v>-9.4741455342067606</v>
      </c>
      <c r="P57" s="15">
        <f t="shared" si="16"/>
        <v>-10.93795011960685</v>
      </c>
      <c r="Q57" s="15">
        <f t="shared" si="16"/>
        <v>-10.355280359184118</v>
      </c>
      <c r="R57" s="15">
        <f t="shared" si="16"/>
        <v>-12.546517180679253</v>
      </c>
      <c r="S57" s="10"/>
    </row>
    <row r="58" spans="1:19" x14ac:dyDescent="0.25">
      <c r="H58" s="10"/>
      <c r="I58" s="10"/>
      <c r="J58" s="10"/>
      <c r="K58" s="10"/>
      <c r="L58" s="10"/>
      <c r="M58" s="10"/>
      <c r="N58" s="10"/>
      <c r="O58" s="10"/>
      <c r="P58" s="10"/>
      <c r="Q58" s="10"/>
      <c r="R58" s="10"/>
      <c r="S58" s="10"/>
    </row>
    <row r="59" spans="1:19" x14ac:dyDescent="0.25">
      <c r="H59" s="10"/>
      <c r="I59" s="10"/>
      <c r="J59" s="10"/>
      <c r="K59" s="10"/>
      <c r="L59" s="10"/>
      <c r="M59" s="10"/>
      <c r="N59" s="10"/>
      <c r="O59" s="10"/>
      <c r="P59" s="10"/>
      <c r="Q59" s="10"/>
      <c r="R59" s="10"/>
      <c r="S59" s="10"/>
    </row>
    <row r="60" spans="1:19" x14ac:dyDescent="0.25">
      <c r="A60" s="12" t="s">
        <v>308</v>
      </c>
      <c r="H60" s="10"/>
      <c r="I60" s="10"/>
      <c r="J60" s="10"/>
      <c r="K60" s="10"/>
      <c r="L60" s="10"/>
      <c r="M60" s="10"/>
      <c r="N60" s="10"/>
      <c r="O60" s="10"/>
      <c r="P60" s="10"/>
      <c r="Q60" s="10"/>
      <c r="R60" s="10"/>
      <c r="S60" s="10"/>
    </row>
    <row r="61" spans="1:19" x14ac:dyDescent="0.25">
      <c r="A61" s="2" t="s">
        <v>309</v>
      </c>
      <c r="B61" s="15">
        <v>93.66</v>
      </c>
      <c r="H61" s="15"/>
      <c r="I61" s="10"/>
      <c r="J61" s="10"/>
      <c r="K61" s="10"/>
      <c r="L61" s="10"/>
      <c r="M61" s="10"/>
      <c r="N61" s="10"/>
      <c r="O61" s="10"/>
      <c r="P61" s="10"/>
      <c r="Q61" s="10"/>
      <c r="R61" s="10"/>
      <c r="S61" s="10"/>
    </row>
    <row r="62" spans="1:19" x14ac:dyDescent="0.25">
      <c r="A62" s="2" t="s">
        <v>215</v>
      </c>
      <c r="B62" s="10">
        <f>B61*B55</f>
        <v>8919991.0800000001</v>
      </c>
      <c r="I62" s="10"/>
      <c r="J62" s="10"/>
      <c r="K62" s="10"/>
      <c r="L62" s="10"/>
      <c r="M62" s="10"/>
      <c r="N62" s="10"/>
      <c r="O62" s="10"/>
      <c r="P62" s="10"/>
      <c r="Q62" s="10"/>
      <c r="R62" s="10"/>
      <c r="S62" s="10"/>
    </row>
    <row r="63" spans="1:19" x14ac:dyDescent="0.25">
      <c r="A63" s="2" t="s">
        <v>216</v>
      </c>
      <c r="B63" s="10">
        <f>B37+B32</f>
        <v>8873215</v>
      </c>
      <c r="I63" s="10"/>
      <c r="J63" s="10"/>
      <c r="K63" s="10"/>
      <c r="L63" s="10"/>
      <c r="M63" s="10"/>
      <c r="N63" s="10"/>
      <c r="O63" s="10"/>
      <c r="P63" s="10"/>
      <c r="Q63" s="10"/>
      <c r="R63" s="10"/>
      <c r="S63" s="10"/>
    </row>
    <row r="64" spans="1:19" x14ac:dyDescent="0.25">
      <c r="A64" s="2" t="s">
        <v>217</v>
      </c>
      <c r="B64" s="10">
        <f>-(B6+B7)</f>
        <v>-420581</v>
      </c>
      <c r="I64" s="10"/>
      <c r="J64" s="10"/>
      <c r="K64" s="10"/>
      <c r="L64" s="10"/>
      <c r="M64" s="10"/>
      <c r="N64" s="10"/>
      <c r="O64" s="10"/>
      <c r="P64" s="10"/>
      <c r="Q64" s="10"/>
      <c r="R64" s="10"/>
      <c r="S64" s="10"/>
    </row>
    <row r="65" spans="1:19" x14ac:dyDescent="0.25">
      <c r="A65" s="12" t="s">
        <v>218</v>
      </c>
      <c r="B65" s="17">
        <f>SUM(B62:B64)</f>
        <v>17372625.079999998</v>
      </c>
      <c r="I65" s="10"/>
      <c r="J65" s="10"/>
      <c r="K65" s="10"/>
      <c r="L65" s="10"/>
      <c r="M65" s="10"/>
      <c r="N65" s="10"/>
      <c r="O65" s="10"/>
      <c r="P65" s="10"/>
      <c r="Q65" s="10"/>
      <c r="R65" s="10"/>
      <c r="S65" s="10"/>
    </row>
    <row r="66" spans="1:19" x14ac:dyDescent="0.25">
      <c r="H66" s="10"/>
      <c r="I66" s="10"/>
      <c r="J66" s="10"/>
      <c r="K66" s="10"/>
      <c r="L66" s="10"/>
      <c r="M66" s="10"/>
      <c r="N66" s="10"/>
      <c r="O66" s="10"/>
      <c r="P66" s="10"/>
      <c r="Q66" s="10"/>
      <c r="R66" s="10"/>
      <c r="S66" s="10"/>
    </row>
    <row r="67" spans="1:19" x14ac:dyDescent="0.25">
      <c r="H67" s="10"/>
      <c r="I67" s="10"/>
      <c r="J67" s="10"/>
      <c r="K67" s="10"/>
      <c r="L67" s="10"/>
      <c r="M67" s="10"/>
      <c r="N67" s="10"/>
      <c r="O67" s="10"/>
      <c r="P67" s="10"/>
      <c r="Q67" s="10"/>
      <c r="R67" s="10"/>
      <c r="S67" s="10"/>
    </row>
    <row r="68" spans="1:19" x14ac:dyDescent="0.25">
      <c r="H68" s="10"/>
      <c r="I68" s="10"/>
      <c r="J68" s="10"/>
      <c r="K68" s="10"/>
      <c r="L68" s="10"/>
      <c r="M68" s="10"/>
      <c r="N68" s="10"/>
      <c r="O68" s="10"/>
      <c r="P68" s="10"/>
      <c r="Q68" s="10"/>
      <c r="R68" s="10"/>
      <c r="S68" s="10"/>
    </row>
    <row r="69" spans="1:19" x14ac:dyDescent="0.25">
      <c r="H69" s="10"/>
      <c r="I69" s="10"/>
      <c r="J69" s="10"/>
      <c r="K69" s="10"/>
      <c r="L69" s="10"/>
      <c r="M69" s="10"/>
      <c r="N69" s="10"/>
      <c r="O69" s="10"/>
      <c r="P69" s="10"/>
      <c r="Q69" s="10"/>
      <c r="R69" s="10"/>
      <c r="S69" s="10"/>
    </row>
    <row r="70" spans="1:19" x14ac:dyDescent="0.25">
      <c r="H70" s="10"/>
      <c r="I70" s="10"/>
      <c r="J70" s="10"/>
      <c r="K70" s="10"/>
      <c r="L70" s="10"/>
      <c r="M70" s="10"/>
      <c r="N70" s="10"/>
      <c r="O70" s="10"/>
      <c r="P70" s="10"/>
      <c r="Q70" s="10"/>
      <c r="R70" s="10"/>
      <c r="S70" s="10"/>
    </row>
    <row r="71" spans="1:19" x14ac:dyDescent="0.25">
      <c r="H71" s="10"/>
      <c r="I71" s="10"/>
      <c r="J71" s="10"/>
      <c r="K71" s="10"/>
      <c r="L71" s="10"/>
      <c r="M71" s="10"/>
      <c r="N71" s="10"/>
      <c r="O71" s="10"/>
      <c r="P71" s="10"/>
      <c r="Q71" s="10"/>
      <c r="R71" s="10"/>
      <c r="S71" s="10"/>
    </row>
    <row r="72" spans="1:19" x14ac:dyDescent="0.25">
      <c r="H72" s="10"/>
      <c r="I72" s="10"/>
      <c r="J72" s="10"/>
      <c r="K72" s="10"/>
      <c r="L72" s="10"/>
      <c r="M72" s="10"/>
      <c r="N72" s="10"/>
      <c r="O72" s="10"/>
      <c r="P72" s="10"/>
      <c r="Q72" s="10"/>
      <c r="R72" s="10"/>
      <c r="S72" s="10"/>
    </row>
    <row r="73" spans="1:19" x14ac:dyDescent="0.25">
      <c r="H73" s="10"/>
      <c r="I73" s="10"/>
      <c r="J73" s="10"/>
      <c r="K73" s="10"/>
      <c r="L73" s="10"/>
      <c r="M73" s="10"/>
      <c r="N73" s="10"/>
      <c r="O73" s="10"/>
      <c r="P73" s="10"/>
      <c r="Q73" s="10"/>
      <c r="R73" s="10"/>
      <c r="S73" s="10"/>
    </row>
    <row r="74" spans="1:19" x14ac:dyDescent="0.25">
      <c r="H74" s="10"/>
      <c r="I74" s="10"/>
      <c r="J74" s="10"/>
      <c r="K74" s="10"/>
      <c r="L74" s="10"/>
      <c r="M74" s="10"/>
      <c r="N74" s="10"/>
      <c r="O74" s="10"/>
      <c r="P74" s="10"/>
      <c r="Q74" s="10"/>
      <c r="R74" s="10"/>
      <c r="S74" s="10"/>
    </row>
    <row r="75" spans="1:19" x14ac:dyDescent="0.25">
      <c r="H75" s="10"/>
      <c r="I75" s="10"/>
      <c r="J75" s="10"/>
      <c r="K75" s="10"/>
      <c r="L75" s="10"/>
      <c r="M75" s="10"/>
      <c r="N75" s="10"/>
      <c r="O75" s="10"/>
      <c r="P75" s="10"/>
      <c r="Q75" s="10"/>
      <c r="R75" s="10"/>
      <c r="S75" s="10"/>
    </row>
    <row r="76" spans="1:19" x14ac:dyDescent="0.25">
      <c r="H76" s="10"/>
      <c r="I76" s="10"/>
      <c r="J76" s="10"/>
      <c r="K76" s="10"/>
      <c r="L76" s="10"/>
      <c r="M76" s="10"/>
      <c r="N76" s="10"/>
      <c r="O76" s="10"/>
      <c r="P76" s="10"/>
      <c r="Q76" s="10"/>
      <c r="R76" s="10"/>
      <c r="S76" s="10"/>
    </row>
    <row r="77" spans="1:19" x14ac:dyDescent="0.25">
      <c r="H77" s="10"/>
      <c r="I77" s="10"/>
      <c r="J77" s="10"/>
      <c r="K77" s="10"/>
      <c r="L77" s="10"/>
      <c r="M77" s="10"/>
      <c r="N77" s="10"/>
      <c r="O77" s="10"/>
      <c r="P77" s="10"/>
      <c r="Q77" s="10"/>
      <c r="R77" s="10"/>
      <c r="S77" s="10"/>
    </row>
    <row r="78" spans="1:19" x14ac:dyDescent="0.25">
      <c r="H78" s="10"/>
      <c r="I78" s="10"/>
      <c r="J78" s="10"/>
      <c r="K78" s="10"/>
      <c r="L78" s="10"/>
      <c r="M78" s="10"/>
      <c r="N78" s="10"/>
      <c r="O78" s="10"/>
      <c r="P78" s="10"/>
      <c r="Q78" s="10"/>
      <c r="R78" s="10"/>
      <c r="S78" s="10"/>
    </row>
    <row r="79" spans="1:19" x14ac:dyDescent="0.25">
      <c r="H79" s="10"/>
      <c r="I79" s="10"/>
      <c r="J79" s="10"/>
      <c r="K79" s="10"/>
      <c r="L79" s="10"/>
      <c r="M79" s="10"/>
      <c r="N79" s="10"/>
      <c r="O79" s="10"/>
      <c r="P79" s="10"/>
      <c r="Q79" s="10"/>
      <c r="R79" s="10"/>
      <c r="S79" s="10"/>
    </row>
    <row r="80" spans="1:19" x14ac:dyDescent="0.25">
      <c r="H80" s="10"/>
      <c r="I80" s="10"/>
      <c r="J80" s="10"/>
      <c r="K80" s="10"/>
      <c r="L80" s="10"/>
      <c r="M80" s="10"/>
      <c r="N80" s="10"/>
      <c r="O80" s="10"/>
      <c r="P80" s="10"/>
      <c r="Q80" s="10"/>
      <c r="R80" s="10"/>
      <c r="S80" s="10"/>
    </row>
    <row r="81" spans="8:19" x14ac:dyDescent="0.25">
      <c r="H81" s="10"/>
      <c r="I81" s="10"/>
      <c r="J81" s="10"/>
      <c r="K81" s="10"/>
      <c r="L81" s="10"/>
      <c r="M81" s="10"/>
      <c r="N81" s="10"/>
      <c r="O81" s="10"/>
      <c r="P81" s="10"/>
      <c r="Q81" s="10"/>
      <c r="R81" s="10"/>
      <c r="S81" s="10"/>
    </row>
    <row r="82" spans="8:19" x14ac:dyDescent="0.25">
      <c r="H82" s="10"/>
      <c r="I82" s="10"/>
      <c r="J82" s="10"/>
      <c r="K82" s="10"/>
      <c r="L82" s="10"/>
      <c r="M82" s="10"/>
      <c r="N82" s="10"/>
      <c r="O82" s="10"/>
      <c r="P82" s="10"/>
      <c r="Q82" s="10"/>
      <c r="R82" s="10"/>
      <c r="S82" s="10"/>
    </row>
    <row r="83" spans="8:19" x14ac:dyDescent="0.25">
      <c r="H83" s="10"/>
      <c r="I83" s="10"/>
      <c r="J83" s="10"/>
      <c r="K83" s="10"/>
      <c r="L83" s="10"/>
      <c r="M83" s="10"/>
      <c r="N83" s="10"/>
      <c r="O83" s="10"/>
      <c r="P83" s="10"/>
      <c r="Q83" s="10"/>
      <c r="R83" s="10"/>
      <c r="S83" s="10"/>
    </row>
    <row r="84" spans="8:19" x14ac:dyDescent="0.25">
      <c r="H84" s="10"/>
      <c r="I84" s="10"/>
      <c r="J84" s="10"/>
      <c r="K84" s="10"/>
      <c r="L84" s="10"/>
      <c r="M84" s="10"/>
      <c r="N84" s="10"/>
      <c r="O84" s="10"/>
      <c r="P84" s="10"/>
      <c r="Q84" s="10"/>
      <c r="R84" s="10"/>
      <c r="S84" s="10"/>
    </row>
    <row r="85" spans="8:19" x14ac:dyDescent="0.25">
      <c r="H85" s="10"/>
      <c r="I85" s="10"/>
      <c r="J85" s="10"/>
      <c r="K85" s="10"/>
      <c r="L85" s="10"/>
      <c r="M85" s="10"/>
      <c r="N85" s="10"/>
      <c r="O85" s="10"/>
      <c r="P85" s="10"/>
      <c r="Q85" s="10"/>
      <c r="R85" s="10"/>
      <c r="S85" s="10"/>
    </row>
    <row r="86" spans="8:19" x14ac:dyDescent="0.25">
      <c r="H86" s="10"/>
      <c r="I86" s="10"/>
      <c r="J86" s="10"/>
      <c r="K86" s="10"/>
      <c r="L86" s="10"/>
      <c r="M86" s="10"/>
      <c r="N86" s="10"/>
      <c r="O86" s="10"/>
      <c r="P86" s="10"/>
      <c r="Q86" s="10"/>
      <c r="R86" s="10"/>
      <c r="S86" s="10"/>
    </row>
    <row r="87" spans="8:19" x14ac:dyDescent="0.25">
      <c r="H87" s="10"/>
      <c r="I87" s="10"/>
      <c r="J87" s="10"/>
      <c r="K87" s="10"/>
      <c r="L87" s="10"/>
      <c r="M87" s="10"/>
      <c r="N87" s="10"/>
      <c r="O87" s="10"/>
      <c r="P87" s="10"/>
      <c r="Q87" s="10"/>
      <c r="R87" s="10"/>
      <c r="S87" s="10"/>
    </row>
    <row r="88" spans="8:19" x14ac:dyDescent="0.25">
      <c r="H88" s="10"/>
      <c r="I88" s="10"/>
      <c r="J88" s="10"/>
      <c r="K88" s="10"/>
      <c r="L88" s="10"/>
      <c r="M88" s="10"/>
      <c r="N88" s="10"/>
      <c r="O88" s="10"/>
      <c r="P88" s="10"/>
      <c r="Q88" s="10"/>
      <c r="R88" s="10"/>
      <c r="S88" s="10"/>
    </row>
    <row r="89" spans="8:19" x14ac:dyDescent="0.25">
      <c r="H89" s="10"/>
      <c r="I89" s="10"/>
      <c r="J89" s="10"/>
      <c r="K89" s="10"/>
      <c r="L89" s="10"/>
      <c r="M89" s="10"/>
      <c r="N89" s="10"/>
      <c r="O89" s="10"/>
      <c r="P89" s="10"/>
      <c r="Q89" s="10"/>
      <c r="R89" s="10"/>
      <c r="S89" s="10"/>
    </row>
    <row r="90" spans="8:19" x14ac:dyDescent="0.25">
      <c r="H90" s="10"/>
      <c r="I90" s="10"/>
      <c r="J90" s="10"/>
      <c r="K90" s="10"/>
      <c r="L90" s="10"/>
      <c r="M90" s="10"/>
      <c r="N90" s="10"/>
      <c r="O90" s="10"/>
      <c r="P90" s="10"/>
      <c r="Q90" s="10"/>
      <c r="R90" s="10"/>
      <c r="S90" s="10"/>
    </row>
    <row r="91" spans="8:19" x14ac:dyDescent="0.25">
      <c r="H91" s="10"/>
      <c r="I91" s="10"/>
      <c r="J91" s="10"/>
      <c r="K91" s="10"/>
      <c r="L91" s="10"/>
      <c r="M91" s="10"/>
      <c r="N91" s="10"/>
      <c r="O91" s="10"/>
      <c r="P91" s="10"/>
      <c r="Q91" s="10"/>
      <c r="R91" s="10"/>
      <c r="S91" s="10"/>
    </row>
    <row r="92" spans="8:19" x14ac:dyDescent="0.25">
      <c r="H92" s="10"/>
      <c r="I92" s="10"/>
      <c r="J92" s="10"/>
      <c r="K92" s="10"/>
      <c r="L92" s="10"/>
      <c r="M92" s="10"/>
      <c r="N92" s="10"/>
      <c r="O92" s="10"/>
      <c r="P92" s="10"/>
      <c r="Q92" s="10"/>
      <c r="R92" s="10"/>
      <c r="S92" s="10"/>
    </row>
    <row r="93" spans="8:19" x14ac:dyDescent="0.25">
      <c r="H93" s="10"/>
      <c r="I93" s="10"/>
      <c r="J93" s="10"/>
      <c r="K93" s="10"/>
      <c r="L93" s="10"/>
      <c r="M93" s="10"/>
      <c r="N93" s="10"/>
      <c r="O93" s="10"/>
      <c r="P93" s="10"/>
      <c r="Q93" s="10"/>
      <c r="R93" s="10"/>
      <c r="S93" s="10"/>
    </row>
    <row r="94" spans="8:19" x14ac:dyDescent="0.25">
      <c r="H94" s="10"/>
      <c r="I94" s="10"/>
      <c r="J94" s="10"/>
      <c r="K94" s="10"/>
      <c r="L94" s="10"/>
      <c r="M94" s="10"/>
      <c r="N94" s="10"/>
      <c r="O94" s="10"/>
      <c r="P94" s="10"/>
      <c r="Q94" s="10"/>
      <c r="R94" s="10"/>
      <c r="S94" s="10"/>
    </row>
    <row r="95" spans="8:19" x14ac:dyDescent="0.25">
      <c r="H95" s="10"/>
      <c r="I95" s="10"/>
      <c r="J95" s="10"/>
      <c r="K95" s="10"/>
      <c r="L95" s="10"/>
      <c r="M95" s="10"/>
      <c r="N95" s="10"/>
      <c r="O95" s="10"/>
      <c r="P95" s="10"/>
      <c r="Q95" s="10"/>
      <c r="R95" s="10"/>
      <c r="S95" s="10"/>
    </row>
    <row r="96" spans="8:19" x14ac:dyDescent="0.25">
      <c r="H96" s="10"/>
      <c r="I96" s="10"/>
      <c r="J96" s="10"/>
      <c r="K96" s="10"/>
      <c r="L96" s="10"/>
      <c r="M96" s="10"/>
      <c r="N96" s="10"/>
      <c r="O96" s="10"/>
      <c r="P96" s="10"/>
      <c r="Q96" s="10"/>
      <c r="R96" s="10"/>
      <c r="S96" s="10"/>
    </row>
    <row r="97" spans="8:19" x14ac:dyDescent="0.25">
      <c r="H97" s="10"/>
      <c r="I97" s="10"/>
      <c r="J97" s="10"/>
      <c r="K97" s="10"/>
      <c r="L97" s="10"/>
      <c r="M97" s="10"/>
      <c r="N97" s="10"/>
      <c r="O97" s="10"/>
      <c r="P97" s="10"/>
      <c r="Q97" s="10"/>
      <c r="R97" s="10"/>
      <c r="S97" s="10"/>
    </row>
    <row r="98" spans="8:19" x14ac:dyDescent="0.25">
      <c r="H98" s="10"/>
      <c r="I98" s="10"/>
      <c r="J98" s="10"/>
      <c r="K98" s="10"/>
      <c r="L98" s="10"/>
      <c r="M98" s="10"/>
      <c r="N98" s="10"/>
      <c r="O98" s="10"/>
      <c r="P98" s="10"/>
      <c r="Q98" s="10"/>
      <c r="R98" s="10"/>
      <c r="S98" s="10"/>
    </row>
    <row r="99" spans="8:19" x14ac:dyDescent="0.25">
      <c r="H99" s="10"/>
      <c r="I99" s="10"/>
      <c r="J99" s="10"/>
      <c r="K99" s="10"/>
      <c r="L99" s="10"/>
      <c r="M99" s="10"/>
      <c r="N99" s="10"/>
      <c r="O99" s="10"/>
      <c r="P99" s="10"/>
      <c r="Q99" s="10"/>
      <c r="R99" s="10"/>
      <c r="S99" s="10"/>
    </row>
    <row r="100" spans="8:19" x14ac:dyDescent="0.25">
      <c r="H100" s="10"/>
      <c r="I100" s="10"/>
      <c r="J100" s="10"/>
      <c r="K100" s="10"/>
      <c r="L100" s="10"/>
      <c r="M100" s="10"/>
      <c r="N100" s="10"/>
      <c r="O100" s="10"/>
      <c r="P100" s="10"/>
      <c r="Q100" s="10"/>
      <c r="R100" s="10"/>
      <c r="S100" s="10"/>
    </row>
    <row r="101" spans="8:19" x14ac:dyDescent="0.25">
      <c r="H101" s="10"/>
      <c r="I101" s="10"/>
      <c r="J101" s="10"/>
      <c r="K101" s="10"/>
      <c r="L101" s="10"/>
      <c r="M101" s="10"/>
      <c r="N101" s="10"/>
      <c r="O101" s="10"/>
      <c r="P101" s="10"/>
      <c r="Q101" s="10"/>
      <c r="R101" s="10"/>
      <c r="S101" s="10"/>
    </row>
    <row r="102" spans="8:19" x14ac:dyDescent="0.25">
      <c r="H102" s="10"/>
      <c r="I102" s="10"/>
      <c r="J102" s="10"/>
      <c r="K102" s="10"/>
      <c r="L102" s="10"/>
      <c r="M102" s="10"/>
      <c r="N102" s="10"/>
      <c r="O102" s="10"/>
      <c r="P102" s="10"/>
      <c r="Q102" s="10"/>
      <c r="R102" s="10"/>
      <c r="S102" s="10"/>
    </row>
    <row r="103" spans="8:19" x14ac:dyDescent="0.25">
      <c r="H103" s="10"/>
      <c r="I103" s="10"/>
      <c r="J103" s="10"/>
      <c r="K103" s="10"/>
      <c r="L103" s="10"/>
      <c r="M103" s="10"/>
      <c r="N103" s="10"/>
      <c r="O103" s="10"/>
      <c r="P103" s="10"/>
      <c r="Q103" s="10"/>
      <c r="R103" s="10"/>
      <c r="S103" s="10"/>
    </row>
    <row r="104" spans="8:19" x14ac:dyDescent="0.25">
      <c r="H104" s="10"/>
      <c r="I104" s="10"/>
      <c r="J104" s="10"/>
      <c r="K104" s="10"/>
      <c r="L104" s="10"/>
      <c r="M104" s="10"/>
      <c r="N104" s="10"/>
      <c r="O104" s="10"/>
      <c r="P104" s="10"/>
      <c r="Q104" s="10"/>
      <c r="R104" s="10"/>
      <c r="S104" s="10"/>
    </row>
    <row r="105" spans="8:19" x14ac:dyDescent="0.25">
      <c r="H105" s="10"/>
      <c r="I105" s="10"/>
      <c r="J105" s="10"/>
      <c r="K105" s="10"/>
      <c r="L105" s="10"/>
      <c r="M105" s="10"/>
      <c r="N105" s="10"/>
      <c r="O105" s="10"/>
      <c r="P105" s="10"/>
      <c r="Q105" s="10"/>
      <c r="R105" s="10"/>
      <c r="S105" s="10"/>
    </row>
    <row r="106" spans="8:19" x14ac:dyDescent="0.25">
      <c r="H106" s="10"/>
      <c r="I106" s="10"/>
      <c r="J106" s="10"/>
      <c r="K106" s="10"/>
      <c r="L106" s="10"/>
      <c r="M106" s="10"/>
      <c r="N106" s="10"/>
      <c r="O106" s="10"/>
      <c r="P106" s="10"/>
      <c r="Q106" s="10"/>
      <c r="R106" s="10"/>
      <c r="S106" s="10"/>
    </row>
    <row r="107" spans="8:19" x14ac:dyDescent="0.25">
      <c r="H107" s="10"/>
      <c r="I107" s="10"/>
      <c r="J107" s="10"/>
      <c r="K107" s="10"/>
      <c r="L107" s="10"/>
      <c r="M107" s="10"/>
      <c r="N107" s="10"/>
      <c r="O107" s="10"/>
      <c r="P107" s="10"/>
      <c r="Q107" s="10"/>
      <c r="R107" s="10"/>
      <c r="S107" s="10"/>
    </row>
    <row r="108" spans="8:19" x14ac:dyDescent="0.25">
      <c r="H108" s="10"/>
      <c r="I108" s="10"/>
      <c r="J108" s="10"/>
      <c r="K108" s="10"/>
      <c r="L108" s="10"/>
      <c r="M108" s="10"/>
      <c r="N108" s="10"/>
      <c r="O108" s="10"/>
      <c r="P108" s="10"/>
      <c r="Q108" s="10"/>
      <c r="R108" s="10"/>
      <c r="S108" s="10"/>
    </row>
    <row r="109" spans="8:19" x14ac:dyDescent="0.25">
      <c r="H109" s="10"/>
      <c r="I109" s="10"/>
      <c r="J109" s="10"/>
      <c r="K109" s="10"/>
      <c r="L109" s="10"/>
      <c r="M109" s="10"/>
      <c r="N109" s="10"/>
      <c r="O109" s="10"/>
      <c r="P109" s="10"/>
      <c r="Q109" s="10"/>
      <c r="R109" s="10"/>
      <c r="S109" s="10"/>
    </row>
    <row r="110" spans="8:19" x14ac:dyDescent="0.25">
      <c r="H110" s="10"/>
      <c r="I110" s="10"/>
      <c r="J110" s="10"/>
      <c r="K110" s="10"/>
      <c r="L110" s="10"/>
      <c r="M110" s="10"/>
      <c r="N110" s="10"/>
      <c r="O110" s="10"/>
      <c r="P110" s="10"/>
      <c r="Q110" s="10"/>
      <c r="R110" s="10"/>
      <c r="S110" s="10"/>
    </row>
    <row r="111" spans="8:19" x14ac:dyDescent="0.25">
      <c r="H111" s="10"/>
      <c r="I111" s="10"/>
      <c r="J111" s="10"/>
      <c r="K111" s="10"/>
      <c r="L111" s="10"/>
      <c r="M111" s="10"/>
      <c r="N111" s="10"/>
      <c r="O111" s="10"/>
      <c r="P111" s="10"/>
      <c r="Q111" s="10"/>
      <c r="R111" s="10"/>
      <c r="S111" s="10"/>
    </row>
    <row r="112" spans="8:19" x14ac:dyDescent="0.25">
      <c r="H112" s="10"/>
      <c r="I112" s="10"/>
      <c r="J112" s="10"/>
      <c r="K112" s="10"/>
      <c r="L112" s="10"/>
      <c r="M112" s="10"/>
      <c r="N112" s="10"/>
      <c r="O112" s="10"/>
      <c r="P112" s="10"/>
      <c r="Q112" s="10"/>
      <c r="R112" s="10"/>
      <c r="S112" s="10"/>
    </row>
    <row r="113" spans="8:19" x14ac:dyDescent="0.25">
      <c r="H113" s="10"/>
      <c r="I113" s="10"/>
      <c r="J113" s="10"/>
      <c r="K113" s="10"/>
      <c r="L113" s="10"/>
      <c r="M113" s="10"/>
      <c r="N113" s="10"/>
      <c r="O113" s="10"/>
      <c r="P113" s="10"/>
      <c r="Q113" s="10"/>
      <c r="R113" s="10"/>
      <c r="S113" s="10"/>
    </row>
    <row r="114" spans="8:19" x14ac:dyDescent="0.25">
      <c r="H114" s="10"/>
      <c r="I114" s="10"/>
      <c r="J114" s="10"/>
      <c r="K114" s="10"/>
      <c r="L114" s="10"/>
      <c r="M114" s="10"/>
      <c r="N114" s="10"/>
      <c r="O114" s="10"/>
      <c r="P114" s="10"/>
      <c r="Q114" s="10"/>
      <c r="R114" s="10"/>
      <c r="S114" s="10"/>
    </row>
    <row r="115" spans="8:19" x14ac:dyDescent="0.25">
      <c r="H115" s="10"/>
      <c r="I115" s="10"/>
      <c r="J115" s="10"/>
      <c r="K115" s="10"/>
      <c r="L115" s="10"/>
      <c r="M115" s="10"/>
      <c r="N115" s="10"/>
      <c r="O115" s="10"/>
      <c r="P115" s="10"/>
      <c r="Q115" s="10"/>
      <c r="R115" s="10"/>
      <c r="S115" s="10"/>
    </row>
    <row r="116" spans="8:19" x14ac:dyDescent="0.25">
      <c r="H116" s="10"/>
      <c r="I116" s="10"/>
      <c r="J116" s="10"/>
      <c r="K116" s="10"/>
      <c r="L116" s="10"/>
      <c r="M116" s="10"/>
      <c r="N116" s="10"/>
      <c r="O116" s="10"/>
      <c r="P116" s="10"/>
      <c r="Q116" s="10"/>
      <c r="R116" s="10"/>
      <c r="S116" s="10"/>
    </row>
    <row r="117" spans="8:19" x14ac:dyDescent="0.25">
      <c r="H117" s="10"/>
      <c r="I117" s="10"/>
      <c r="J117" s="10"/>
      <c r="K117" s="10"/>
      <c r="L117" s="10"/>
      <c r="M117" s="10"/>
      <c r="N117" s="10"/>
      <c r="O117" s="10"/>
      <c r="P117" s="10"/>
      <c r="Q117" s="10"/>
      <c r="R117" s="10"/>
      <c r="S117" s="10"/>
    </row>
    <row r="118" spans="8:19" x14ac:dyDescent="0.25">
      <c r="H118" s="10"/>
      <c r="I118" s="10"/>
      <c r="J118" s="10"/>
      <c r="K118" s="10"/>
      <c r="L118" s="10"/>
      <c r="M118" s="10"/>
      <c r="N118" s="10"/>
      <c r="O118" s="10"/>
      <c r="P118" s="10"/>
      <c r="Q118" s="10"/>
      <c r="R118" s="10"/>
      <c r="S118" s="10"/>
    </row>
    <row r="119" spans="8:19" x14ac:dyDescent="0.25">
      <c r="H119" s="10"/>
      <c r="I119" s="10"/>
      <c r="J119" s="10"/>
      <c r="K119" s="10"/>
      <c r="L119" s="10"/>
      <c r="M119" s="10"/>
      <c r="N119" s="10"/>
      <c r="O119" s="10"/>
      <c r="P119" s="10"/>
      <c r="Q119" s="10"/>
      <c r="R119" s="10"/>
      <c r="S119" s="10"/>
    </row>
    <row r="120" spans="8:19" x14ac:dyDescent="0.25">
      <c r="H120" s="10"/>
      <c r="I120" s="10"/>
      <c r="J120" s="10"/>
      <c r="K120" s="10"/>
      <c r="L120" s="10"/>
      <c r="M120" s="10"/>
      <c r="N120" s="10"/>
      <c r="O120" s="10"/>
      <c r="P120" s="10"/>
      <c r="Q120" s="10"/>
      <c r="R120" s="10"/>
      <c r="S120" s="10"/>
    </row>
    <row r="121" spans="8:19" x14ac:dyDescent="0.25">
      <c r="H121" s="10"/>
      <c r="I121" s="10"/>
      <c r="J121" s="10"/>
      <c r="K121" s="10"/>
      <c r="L121" s="10"/>
      <c r="M121" s="10"/>
      <c r="N121" s="10"/>
      <c r="O121" s="10"/>
      <c r="P121" s="10"/>
      <c r="Q121" s="10"/>
      <c r="R121" s="10"/>
      <c r="S121" s="10"/>
    </row>
    <row r="122" spans="8:19" x14ac:dyDescent="0.25">
      <c r="H122" s="10"/>
      <c r="I122" s="10"/>
      <c r="J122" s="10"/>
      <c r="K122" s="10"/>
      <c r="L122" s="10"/>
      <c r="M122" s="10"/>
      <c r="N122" s="10"/>
      <c r="O122" s="10"/>
      <c r="P122" s="10"/>
      <c r="Q122" s="10"/>
      <c r="R122" s="10"/>
      <c r="S122" s="10"/>
    </row>
    <row r="123" spans="8:19" x14ac:dyDescent="0.25">
      <c r="H123" s="10"/>
      <c r="I123" s="10"/>
      <c r="J123" s="10"/>
      <c r="K123" s="10"/>
      <c r="L123" s="10"/>
      <c r="M123" s="10"/>
      <c r="N123" s="10"/>
      <c r="O123" s="10"/>
      <c r="P123" s="10"/>
      <c r="Q123" s="10"/>
      <c r="R123" s="10"/>
      <c r="S123" s="10"/>
    </row>
    <row r="124" spans="8:19" x14ac:dyDescent="0.25">
      <c r="H124" s="10"/>
      <c r="I124" s="10"/>
      <c r="J124" s="10"/>
      <c r="K124" s="10"/>
      <c r="L124" s="10"/>
      <c r="M124" s="10"/>
      <c r="N124" s="10"/>
      <c r="O124" s="10"/>
      <c r="P124" s="10"/>
      <c r="Q124" s="10"/>
      <c r="R124" s="10"/>
      <c r="S124" s="10"/>
    </row>
    <row r="125" spans="8:19" x14ac:dyDescent="0.25">
      <c r="H125" s="10"/>
      <c r="I125" s="10"/>
      <c r="J125" s="10"/>
      <c r="K125" s="10"/>
      <c r="L125" s="10"/>
      <c r="M125" s="10"/>
      <c r="N125" s="10"/>
      <c r="O125" s="10"/>
      <c r="P125" s="10"/>
      <c r="Q125" s="10"/>
      <c r="R125" s="10"/>
      <c r="S125" s="10"/>
    </row>
    <row r="126" spans="8:19" x14ac:dyDescent="0.25">
      <c r="H126" s="10"/>
      <c r="I126" s="10"/>
      <c r="J126" s="10"/>
      <c r="K126" s="10"/>
      <c r="L126" s="10"/>
      <c r="M126" s="10"/>
      <c r="N126" s="10"/>
      <c r="O126" s="10"/>
      <c r="P126" s="10"/>
      <c r="Q126" s="10"/>
      <c r="R126" s="10"/>
      <c r="S126" s="10"/>
    </row>
    <row r="127" spans="8:19" x14ac:dyDescent="0.25">
      <c r="H127" s="10"/>
      <c r="I127" s="10"/>
      <c r="J127" s="10"/>
      <c r="K127" s="10"/>
      <c r="L127" s="10"/>
      <c r="M127" s="10"/>
      <c r="N127" s="10"/>
      <c r="O127" s="10"/>
      <c r="P127" s="10"/>
      <c r="Q127" s="10"/>
      <c r="R127" s="10"/>
      <c r="S127" s="10"/>
    </row>
    <row r="128" spans="8:19" x14ac:dyDescent="0.25">
      <c r="H128" s="10"/>
      <c r="I128" s="10"/>
      <c r="J128" s="10"/>
      <c r="K128" s="10"/>
      <c r="L128" s="10"/>
      <c r="M128" s="10"/>
      <c r="N128" s="10"/>
      <c r="O128" s="10"/>
      <c r="P128" s="10"/>
      <c r="Q128" s="10"/>
      <c r="R128" s="10"/>
      <c r="S128" s="10"/>
    </row>
    <row r="129" spans="8:19" x14ac:dyDescent="0.25">
      <c r="H129" s="10"/>
      <c r="I129" s="10"/>
      <c r="J129" s="10"/>
      <c r="K129" s="10"/>
      <c r="L129" s="10"/>
      <c r="M129" s="10"/>
      <c r="N129" s="10"/>
      <c r="O129" s="10"/>
      <c r="P129" s="10"/>
      <c r="Q129" s="10"/>
      <c r="R129" s="10"/>
      <c r="S129" s="10"/>
    </row>
    <row r="130" spans="8:19" x14ac:dyDescent="0.25">
      <c r="H130" s="10"/>
      <c r="I130" s="10"/>
      <c r="J130" s="10"/>
      <c r="K130" s="10"/>
      <c r="L130" s="10"/>
      <c r="M130" s="10"/>
      <c r="N130" s="10"/>
      <c r="O130" s="10"/>
      <c r="P130" s="10"/>
      <c r="Q130" s="10"/>
      <c r="R130" s="10"/>
      <c r="S130" s="10"/>
    </row>
    <row r="131" spans="8:19" x14ac:dyDescent="0.25">
      <c r="H131" s="10"/>
      <c r="I131" s="10"/>
      <c r="J131" s="10"/>
      <c r="K131" s="10"/>
      <c r="L131" s="10"/>
      <c r="M131" s="10"/>
      <c r="N131" s="10"/>
      <c r="O131" s="10"/>
      <c r="P131" s="10"/>
      <c r="Q131" s="10"/>
      <c r="R131" s="10"/>
      <c r="S131" s="10"/>
    </row>
    <row r="132" spans="8:19" x14ac:dyDescent="0.25">
      <c r="H132" s="10"/>
      <c r="I132" s="10"/>
      <c r="J132" s="10"/>
      <c r="K132" s="10"/>
      <c r="L132" s="10"/>
      <c r="M132" s="10"/>
      <c r="N132" s="10"/>
      <c r="O132" s="10"/>
      <c r="P132" s="10"/>
      <c r="Q132" s="10"/>
      <c r="R132" s="10"/>
      <c r="S132" s="10"/>
    </row>
    <row r="133" spans="8:19" x14ac:dyDescent="0.25">
      <c r="H133" s="10"/>
      <c r="I133" s="10"/>
      <c r="J133" s="10"/>
      <c r="K133" s="10"/>
      <c r="L133" s="10"/>
      <c r="M133" s="10"/>
      <c r="N133" s="10"/>
      <c r="O133" s="10"/>
      <c r="P133" s="10"/>
      <c r="Q133" s="10"/>
      <c r="R133" s="10"/>
      <c r="S133" s="10"/>
    </row>
    <row r="134" spans="8:19" x14ac:dyDescent="0.25">
      <c r="H134" s="10"/>
      <c r="I134" s="10"/>
      <c r="J134" s="10"/>
      <c r="K134" s="10"/>
      <c r="L134" s="10"/>
      <c r="M134" s="10"/>
      <c r="N134" s="10"/>
      <c r="O134" s="10"/>
      <c r="P134" s="10"/>
      <c r="Q134" s="10"/>
      <c r="R134" s="10"/>
      <c r="S134" s="10"/>
    </row>
    <row r="135" spans="8:19" x14ac:dyDescent="0.25">
      <c r="H135" s="10"/>
      <c r="I135" s="10"/>
      <c r="J135" s="10"/>
      <c r="K135" s="10"/>
      <c r="L135" s="10"/>
      <c r="M135" s="10"/>
      <c r="N135" s="10"/>
      <c r="O135" s="10"/>
      <c r="P135" s="10"/>
      <c r="Q135" s="10"/>
      <c r="R135" s="10"/>
      <c r="S135" s="10"/>
    </row>
  </sheetData>
  <pageMargins left="0.75" right="0.75" top="1" bottom="1" header="0.5" footer="0.5"/>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9"/>
  <sheetViews>
    <sheetView workbookViewId="0">
      <pane ySplit="5" topLeftCell="A6" activePane="bottomLeft" state="frozen"/>
      <selection pane="bottomLeft"/>
    </sheetView>
  </sheetViews>
  <sheetFormatPr baseColWidth="10" defaultColWidth="9.1640625" defaultRowHeight="19" x14ac:dyDescent="0.25"/>
  <cols>
    <col min="1" max="1" width="59" style="18" bestFit="1" customWidth="1"/>
    <col min="2" max="3" width="12.83203125" style="18" customWidth="1"/>
    <col min="4" max="4" width="13.5" style="18" bestFit="1" customWidth="1"/>
    <col min="5" max="9" width="12.83203125" style="18" bestFit="1" customWidth="1"/>
    <col min="10" max="12" width="13.1640625" style="18" bestFit="1" customWidth="1"/>
    <col min="13" max="19" width="12" style="18" bestFit="1" customWidth="1"/>
    <col min="20" max="16384" width="9.1640625" style="18"/>
  </cols>
  <sheetData>
    <row r="1" spans="1:19" x14ac:dyDescent="0.25">
      <c r="A1" s="1" t="s">
        <v>30</v>
      </c>
      <c r="B1" s="3"/>
    </row>
    <row r="2" spans="1:19" x14ac:dyDescent="0.25">
      <c r="A2" s="4" t="s">
        <v>219</v>
      </c>
      <c r="B2" s="8"/>
    </row>
    <row r="3" spans="1:19" x14ac:dyDescent="0.25">
      <c r="A3" s="4" t="s">
        <v>1</v>
      </c>
      <c r="B3" s="8"/>
    </row>
    <row r="4" spans="1:19" x14ac:dyDescent="0.25">
      <c r="A4" s="19" t="s">
        <v>229</v>
      </c>
      <c r="B4" s="98" t="s">
        <v>228</v>
      </c>
      <c r="C4" s="99"/>
      <c r="D4" s="103" t="s">
        <v>3</v>
      </c>
      <c r="E4" s="104"/>
      <c r="F4" s="104"/>
      <c r="G4" s="104"/>
      <c r="H4" s="104"/>
      <c r="I4" s="104"/>
      <c r="J4" s="104"/>
      <c r="K4" s="104"/>
      <c r="L4" s="104"/>
      <c r="M4" s="104"/>
      <c r="N4" s="104"/>
      <c r="O4" s="104"/>
      <c r="P4" s="104"/>
      <c r="Q4" s="104"/>
      <c r="R4" s="104"/>
      <c r="S4" s="104"/>
    </row>
    <row r="5" spans="1:19" x14ac:dyDescent="0.25">
      <c r="A5" s="20"/>
      <c r="B5" s="21">
        <v>44651</v>
      </c>
      <c r="C5" s="22">
        <v>44286</v>
      </c>
      <c r="D5" s="7">
        <v>44561</v>
      </c>
      <c r="E5" s="7">
        <v>44196</v>
      </c>
      <c r="F5" s="7">
        <v>43830</v>
      </c>
      <c r="G5" s="7">
        <v>43465</v>
      </c>
      <c r="H5" s="7">
        <v>43100</v>
      </c>
      <c r="I5" s="7">
        <v>42735</v>
      </c>
      <c r="J5" s="7">
        <v>42369</v>
      </c>
      <c r="K5" s="7">
        <v>42004</v>
      </c>
      <c r="L5" s="7">
        <v>41639</v>
      </c>
      <c r="M5" s="7">
        <v>41274</v>
      </c>
      <c r="N5" s="7">
        <v>40908</v>
      </c>
      <c r="O5" s="7">
        <v>40543</v>
      </c>
      <c r="P5" s="7">
        <v>40178</v>
      </c>
      <c r="Q5" s="7">
        <v>39813</v>
      </c>
      <c r="R5" s="7">
        <v>39447</v>
      </c>
      <c r="S5" s="7">
        <v>39082</v>
      </c>
    </row>
    <row r="6" spans="1:19" x14ac:dyDescent="0.25">
      <c r="A6" s="18" t="s">
        <v>67</v>
      </c>
      <c r="B6" s="23">
        <v>2716281</v>
      </c>
      <c r="C6" s="24">
        <v>2714587</v>
      </c>
      <c r="D6" s="23">
        <v>11213515</v>
      </c>
      <c r="E6" s="23">
        <v>11039709</v>
      </c>
      <c r="F6" s="23">
        <v>10918421</v>
      </c>
      <c r="G6" s="23">
        <v>10709981</v>
      </c>
      <c r="H6" s="23">
        <v>10093670</v>
      </c>
      <c r="I6" s="23">
        <v>10354161</v>
      </c>
      <c r="J6" s="23">
        <v>9480279</v>
      </c>
      <c r="K6" s="23">
        <v>8868338</v>
      </c>
      <c r="L6" s="23">
        <v>8307195</v>
      </c>
      <c r="M6" s="23">
        <v>7351902</v>
      </c>
      <c r="N6" s="23">
        <v>6470540</v>
      </c>
      <c r="O6" s="23">
        <v>6049266</v>
      </c>
      <c r="P6" s="100" t="s">
        <v>94</v>
      </c>
      <c r="Q6" s="100"/>
      <c r="R6" s="100"/>
      <c r="S6" s="100"/>
    </row>
    <row r="7" spans="1:19" x14ac:dyDescent="0.25">
      <c r="A7" s="18" t="s">
        <v>68</v>
      </c>
      <c r="B7" s="23">
        <v>0</v>
      </c>
      <c r="C7" s="24">
        <v>0</v>
      </c>
      <c r="D7" s="23">
        <v>0</v>
      </c>
      <c r="E7" s="23">
        <v>-13458</v>
      </c>
      <c r="F7" s="23">
        <v>-21715</v>
      </c>
      <c r="G7" s="23">
        <v>-49587</v>
      </c>
      <c r="H7" s="23">
        <v>-485398</v>
      </c>
      <c r="I7" s="23">
        <v>-451353</v>
      </c>
      <c r="J7" s="23">
        <v>-427860</v>
      </c>
      <c r="K7" s="23">
        <v>-366884</v>
      </c>
      <c r="L7" s="23">
        <v>-293546</v>
      </c>
      <c r="M7" s="23">
        <v>-235218</v>
      </c>
      <c r="N7" s="23">
        <v>-190234</v>
      </c>
      <c r="O7" s="23">
        <v>-166301</v>
      </c>
      <c r="P7" s="101"/>
      <c r="Q7" s="101"/>
      <c r="R7" s="101"/>
      <c r="S7" s="101"/>
    </row>
    <row r="8" spans="1:19" x14ac:dyDescent="0.25">
      <c r="A8" s="18" t="s">
        <v>69</v>
      </c>
      <c r="B8" s="25">
        <f>B6+B7</f>
        <v>2716281</v>
      </c>
      <c r="C8" s="26">
        <f t="shared" ref="C8:O8" si="0">C6+C7</f>
        <v>2714587</v>
      </c>
      <c r="D8" s="25">
        <f t="shared" ref="D8:I8" si="1">D6+D7</f>
        <v>11213515</v>
      </c>
      <c r="E8" s="25">
        <f t="shared" si="1"/>
        <v>11026251</v>
      </c>
      <c r="F8" s="25">
        <f t="shared" si="1"/>
        <v>10896706</v>
      </c>
      <c r="G8" s="25">
        <f t="shared" si="1"/>
        <v>10660394</v>
      </c>
      <c r="H8" s="25">
        <f t="shared" si="1"/>
        <v>9608272</v>
      </c>
      <c r="I8" s="25">
        <f t="shared" si="1"/>
        <v>9902808</v>
      </c>
      <c r="J8" s="25">
        <f t="shared" si="0"/>
        <v>9052419</v>
      </c>
      <c r="K8" s="25">
        <f t="shared" si="0"/>
        <v>8501454</v>
      </c>
      <c r="L8" s="25">
        <f t="shared" si="0"/>
        <v>8013649</v>
      </c>
      <c r="M8" s="25">
        <f t="shared" si="0"/>
        <v>7116684</v>
      </c>
      <c r="N8" s="25">
        <f t="shared" si="0"/>
        <v>6280306</v>
      </c>
      <c r="O8" s="25">
        <f t="shared" si="0"/>
        <v>5882965</v>
      </c>
      <c r="P8" s="101"/>
      <c r="Q8" s="101"/>
      <c r="R8" s="101"/>
      <c r="S8" s="101"/>
    </row>
    <row r="9" spans="1:19" x14ac:dyDescent="0.25">
      <c r="A9" s="18" t="s">
        <v>70</v>
      </c>
      <c r="B9" s="23">
        <v>0</v>
      </c>
      <c r="C9" s="24">
        <v>0</v>
      </c>
      <c r="D9" s="23">
        <v>0</v>
      </c>
      <c r="E9" s="23">
        <v>0</v>
      </c>
      <c r="F9" s="23">
        <v>0</v>
      </c>
      <c r="G9" s="23">
        <v>0</v>
      </c>
      <c r="H9" s="23">
        <v>0</v>
      </c>
      <c r="I9" s="23">
        <v>3518679</v>
      </c>
      <c r="J9" s="23">
        <v>3509095</v>
      </c>
      <c r="K9" s="23">
        <v>3261288</v>
      </c>
      <c r="L9" s="23">
        <v>2987315</v>
      </c>
      <c r="M9" s="23">
        <v>481336</v>
      </c>
      <c r="N9" s="23">
        <v>45133</v>
      </c>
      <c r="O9" s="23">
        <v>0</v>
      </c>
      <c r="P9" s="101"/>
      <c r="Q9" s="101"/>
      <c r="R9" s="101"/>
      <c r="S9" s="101"/>
    </row>
    <row r="10" spans="1:19" x14ac:dyDescent="0.25">
      <c r="A10" s="18" t="s">
        <v>71</v>
      </c>
      <c r="B10" s="23">
        <v>101274</v>
      </c>
      <c r="C10" s="24">
        <v>105414</v>
      </c>
      <c r="D10" s="23">
        <v>405282</v>
      </c>
      <c r="E10" s="23">
        <v>524353</v>
      </c>
      <c r="F10" s="23">
        <v>491773</v>
      </c>
      <c r="G10" s="23">
        <v>744457</v>
      </c>
      <c r="H10" s="23">
        <v>1268362</v>
      </c>
      <c r="I10" s="23">
        <v>1323618</v>
      </c>
      <c r="J10" s="23">
        <v>1220323</v>
      </c>
      <c r="K10" s="23">
        <v>1032364</v>
      </c>
      <c r="L10" s="23">
        <v>763086</v>
      </c>
      <c r="M10" s="23">
        <v>588260</v>
      </c>
      <c r="N10" s="23">
        <v>406367</v>
      </c>
      <c r="O10" s="23">
        <v>336645</v>
      </c>
      <c r="P10" s="102"/>
      <c r="Q10" s="102"/>
      <c r="R10" s="102"/>
      <c r="S10" s="102"/>
    </row>
    <row r="11" spans="1:19" x14ac:dyDescent="0.25">
      <c r="A11" s="27" t="s">
        <v>72</v>
      </c>
      <c r="B11" s="28">
        <f>SUM(B8:B10)</f>
        <v>2817555</v>
      </c>
      <c r="C11" s="29">
        <f t="shared" ref="C11:O11" si="2">SUM(C8:C10)</f>
        <v>2820001</v>
      </c>
      <c r="D11" s="28">
        <f t="shared" ref="D11:I11" si="3">SUM(D8:D10)</f>
        <v>11618797</v>
      </c>
      <c r="E11" s="28">
        <f t="shared" si="3"/>
        <v>11550604</v>
      </c>
      <c r="F11" s="28">
        <f t="shared" si="3"/>
        <v>11388479</v>
      </c>
      <c r="G11" s="28">
        <f t="shared" si="3"/>
        <v>11404851</v>
      </c>
      <c r="H11" s="28">
        <f t="shared" si="3"/>
        <v>10876634</v>
      </c>
      <c r="I11" s="28">
        <f t="shared" si="3"/>
        <v>14745105</v>
      </c>
      <c r="J11" s="28">
        <f t="shared" si="2"/>
        <v>13781837</v>
      </c>
      <c r="K11" s="28">
        <f t="shared" si="2"/>
        <v>12795106</v>
      </c>
      <c r="L11" s="28">
        <f t="shared" si="2"/>
        <v>11764050</v>
      </c>
      <c r="M11" s="28">
        <f t="shared" si="2"/>
        <v>8186280</v>
      </c>
      <c r="N11" s="28">
        <f t="shared" si="2"/>
        <v>6731806</v>
      </c>
      <c r="O11" s="28">
        <f t="shared" si="2"/>
        <v>6219610</v>
      </c>
      <c r="P11" s="28">
        <v>6100648</v>
      </c>
      <c r="Q11" s="28">
        <v>5660173</v>
      </c>
      <c r="R11" s="28">
        <v>5264151</v>
      </c>
      <c r="S11" s="28">
        <v>4880662</v>
      </c>
    </row>
    <row r="12" spans="1:19" x14ac:dyDescent="0.25">
      <c r="A12" s="18" t="s">
        <v>73</v>
      </c>
      <c r="B12" s="23"/>
      <c r="C12" s="24"/>
      <c r="D12" s="23"/>
      <c r="E12" s="23"/>
      <c r="F12" s="23"/>
      <c r="G12" s="23"/>
      <c r="H12" s="23"/>
      <c r="I12" s="23"/>
      <c r="J12" s="23"/>
      <c r="K12" s="23"/>
      <c r="L12" s="23"/>
      <c r="M12" s="23"/>
      <c r="N12" s="23"/>
      <c r="O12" s="23"/>
      <c r="P12" s="23"/>
      <c r="Q12" s="23"/>
      <c r="R12" s="23"/>
      <c r="S12" s="23"/>
    </row>
    <row r="13" spans="1:19" x14ac:dyDescent="0.25">
      <c r="A13" s="18" t="s">
        <v>74</v>
      </c>
      <c r="B13" s="23">
        <v>2018529</v>
      </c>
      <c r="C13" s="24">
        <v>1938330</v>
      </c>
      <c r="D13" s="23">
        <v>7972414</v>
      </c>
      <c r="E13" s="23">
        <v>7988613</v>
      </c>
      <c r="F13" s="23">
        <v>7914485</v>
      </c>
      <c r="G13" s="23">
        <v>8195513</v>
      </c>
      <c r="H13" s="23">
        <v>7640005</v>
      </c>
      <c r="I13" s="23">
        <v>10646736</v>
      </c>
      <c r="J13" s="23">
        <v>9824834</v>
      </c>
      <c r="K13" s="23">
        <v>9119305</v>
      </c>
      <c r="L13" s="23">
        <v>8198377</v>
      </c>
      <c r="M13" s="23">
        <v>5583549</v>
      </c>
      <c r="N13" s="23">
        <v>4633620</v>
      </c>
      <c r="O13" s="23">
        <v>4427862</v>
      </c>
      <c r="P13" s="23">
        <v>4242147</v>
      </c>
      <c r="Q13" s="23">
        <v>3920487</v>
      </c>
      <c r="R13" s="23">
        <v>3590344</v>
      </c>
      <c r="S13" s="23">
        <v>3390351</v>
      </c>
    </row>
    <row r="14" spans="1:19" x14ac:dyDescent="0.25">
      <c r="A14" s="18" t="s">
        <v>75</v>
      </c>
      <c r="B14" s="23">
        <v>294820</v>
      </c>
      <c r="C14" s="24">
        <v>281426</v>
      </c>
      <c r="D14" s="23">
        <v>1195335</v>
      </c>
      <c r="E14" s="23">
        <v>1247584</v>
      </c>
      <c r="F14" s="23">
        <v>1103312</v>
      </c>
      <c r="G14" s="23">
        <v>1135454</v>
      </c>
      <c r="H14" s="23">
        <v>1064026</v>
      </c>
      <c r="I14" s="23">
        <v>1592698</v>
      </c>
      <c r="J14" s="23">
        <v>1452135</v>
      </c>
      <c r="K14" s="23">
        <v>1261506</v>
      </c>
      <c r="L14" s="23">
        <v>1176485</v>
      </c>
      <c r="M14" s="23">
        <v>889879</v>
      </c>
      <c r="N14" s="23">
        <v>684715</v>
      </c>
      <c r="O14" s="23">
        <v>571825</v>
      </c>
      <c r="P14" s="23">
        <v>531531</v>
      </c>
      <c r="Q14" s="23">
        <v>508240</v>
      </c>
      <c r="R14" s="23">
        <v>491236</v>
      </c>
      <c r="S14" s="23">
        <v>453516</v>
      </c>
    </row>
    <row r="15" spans="1:19" x14ac:dyDescent="0.25">
      <c r="A15" s="18" t="s">
        <v>76</v>
      </c>
      <c r="B15" s="23">
        <v>172944</v>
      </c>
      <c r="C15" s="24">
        <v>165701</v>
      </c>
      <c r="D15" s="23">
        <v>680615</v>
      </c>
      <c r="E15" s="23">
        <v>630435</v>
      </c>
      <c r="F15" s="23">
        <v>615152</v>
      </c>
      <c r="G15" s="23">
        <v>591035</v>
      </c>
      <c r="H15" s="23">
        <v>559911</v>
      </c>
      <c r="I15" s="23">
        <v>720252</v>
      </c>
      <c r="J15" s="23">
        <v>638024</v>
      </c>
      <c r="K15" s="23">
        <v>590935</v>
      </c>
      <c r="L15" s="23">
        <v>528737</v>
      </c>
      <c r="M15" s="23">
        <v>341969</v>
      </c>
      <c r="N15" s="23">
        <v>264225</v>
      </c>
      <c r="O15" s="23">
        <v>231548</v>
      </c>
      <c r="P15" s="23">
        <v>228396</v>
      </c>
      <c r="Q15" s="23">
        <v>216917</v>
      </c>
      <c r="R15" s="23">
        <v>193470</v>
      </c>
      <c r="S15" s="23">
        <v>173295</v>
      </c>
    </row>
    <row r="16" spans="1:19" x14ac:dyDescent="0.25">
      <c r="A16" s="18" t="s">
        <v>77</v>
      </c>
      <c r="B16" s="23">
        <v>0</v>
      </c>
      <c r="C16" s="24">
        <v>0</v>
      </c>
      <c r="D16" s="23">
        <v>0</v>
      </c>
      <c r="E16" s="23">
        <v>0</v>
      </c>
      <c r="F16" s="23">
        <v>0</v>
      </c>
      <c r="G16" s="23">
        <v>-7300</v>
      </c>
      <c r="H16" s="23">
        <v>-7033</v>
      </c>
      <c r="I16" s="23">
        <v>11677</v>
      </c>
      <c r="J16" s="23">
        <v>9240</v>
      </c>
      <c r="K16" s="23">
        <v>14453</v>
      </c>
      <c r="L16" s="23">
        <v>4852</v>
      </c>
      <c r="M16" s="23">
        <v>4339</v>
      </c>
      <c r="N16" s="23">
        <v>3309</v>
      </c>
      <c r="O16" s="23">
        <v>3566</v>
      </c>
      <c r="P16" s="23">
        <v>161388</v>
      </c>
      <c r="Q16" s="23">
        <v>146229</v>
      </c>
      <c r="R16" s="23">
        <v>136682</v>
      </c>
      <c r="S16" s="23">
        <v>126203</v>
      </c>
    </row>
    <row r="17" spans="1:19" x14ac:dyDescent="0.25">
      <c r="A17" s="18" t="s">
        <v>81</v>
      </c>
      <c r="B17" s="23">
        <v>-7046</v>
      </c>
      <c r="C17" s="24">
        <v>-8058</v>
      </c>
      <c r="D17" s="23">
        <v>-26937</v>
      </c>
      <c r="E17" s="23">
        <v>-26916</v>
      </c>
      <c r="F17" s="23">
        <v>-12679</v>
      </c>
      <c r="G17" s="23">
        <v>4484</v>
      </c>
      <c r="H17" s="23">
        <v>8640</v>
      </c>
      <c r="I17" s="23">
        <v>-13044</v>
      </c>
      <c r="J17" s="23">
        <v>-18325</v>
      </c>
      <c r="K17" s="23">
        <v>-23234</v>
      </c>
      <c r="L17" s="23">
        <v>-34558</v>
      </c>
      <c r="M17" s="23">
        <v>-16377</v>
      </c>
      <c r="N17" s="23">
        <v>-8776</v>
      </c>
      <c r="O17" s="23">
        <v>-8999</v>
      </c>
      <c r="P17" s="23">
        <v>-2442</v>
      </c>
      <c r="Q17" s="23">
        <v>-796</v>
      </c>
      <c r="R17" s="23">
        <v>-1217</v>
      </c>
      <c r="S17" s="23">
        <v>35833</v>
      </c>
    </row>
    <row r="18" spans="1:19" x14ac:dyDescent="0.25">
      <c r="A18" s="18" t="s">
        <v>231</v>
      </c>
      <c r="B18" s="23">
        <v>0</v>
      </c>
      <c r="C18" s="24">
        <v>0</v>
      </c>
      <c r="D18" s="23">
        <v>0</v>
      </c>
      <c r="E18" s="23">
        <v>0</v>
      </c>
      <c r="F18" s="23">
        <v>124892</v>
      </c>
      <c r="G18" s="23">
        <f>17338+3106</f>
        <v>20444</v>
      </c>
      <c r="H18" s="23">
        <f>295234+36196</f>
        <v>331430</v>
      </c>
      <c r="I18" s="23">
        <v>296408</v>
      </c>
      <c r="J18" s="23">
        <v>210234</v>
      </c>
      <c r="K18" s="23">
        <v>0</v>
      </c>
      <c r="L18" s="23">
        <v>0</v>
      </c>
      <c r="M18" s="23">
        <v>0</v>
      </c>
      <c r="N18" s="23">
        <v>0</v>
      </c>
      <c r="O18" s="23">
        <v>0</v>
      </c>
      <c r="P18" s="23">
        <v>0</v>
      </c>
      <c r="Q18" s="23">
        <v>0</v>
      </c>
      <c r="R18" s="23">
        <v>0</v>
      </c>
      <c r="S18" s="23">
        <v>0</v>
      </c>
    </row>
    <row r="19" spans="1:19" x14ac:dyDescent="0.25">
      <c r="A19" s="18" t="s">
        <v>230</v>
      </c>
      <c r="B19" s="23">
        <v>0</v>
      </c>
      <c r="C19" s="24">
        <v>0</v>
      </c>
      <c r="D19" s="23">
        <v>0</v>
      </c>
      <c r="E19" s="23">
        <v>16252</v>
      </c>
      <c r="F19" s="23">
        <v>0</v>
      </c>
      <c r="G19" s="23">
        <v>-60603</v>
      </c>
      <c r="H19" s="23">
        <v>-6273</v>
      </c>
      <c r="I19" s="23">
        <v>-404165</v>
      </c>
      <c r="J19" s="23">
        <v>0</v>
      </c>
      <c r="K19" s="23">
        <v>0</v>
      </c>
      <c r="L19" s="23">
        <v>0</v>
      </c>
      <c r="M19" s="23">
        <v>0</v>
      </c>
      <c r="N19" s="23">
        <v>0</v>
      </c>
      <c r="O19" s="23">
        <v>0</v>
      </c>
      <c r="P19" s="23">
        <v>0</v>
      </c>
      <c r="Q19" s="23">
        <v>0</v>
      </c>
      <c r="R19" s="23">
        <v>0</v>
      </c>
      <c r="S19" s="23">
        <v>0</v>
      </c>
    </row>
    <row r="20" spans="1:19" x14ac:dyDescent="0.25">
      <c r="A20" s="18" t="s">
        <v>78</v>
      </c>
      <c r="B20" s="23">
        <v>0</v>
      </c>
      <c r="C20" s="24">
        <v>0</v>
      </c>
      <c r="D20" s="23"/>
      <c r="E20" s="23">
        <v>0</v>
      </c>
      <c r="F20" s="23"/>
      <c r="G20" s="23">
        <v>0</v>
      </c>
      <c r="H20" s="23">
        <v>-526827</v>
      </c>
      <c r="I20" s="23">
        <v>0</v>
      </c>
      <c r="J20" s="23">
        <v>495000</v>
      </c>
      <c r="K20" s="23">
        <v>17000</v>
      </c>
      <c r="L20" s="23">
        <v>397000</v>
      </c>
      <c r="M20" s="23">
        <v>85837</v>
      </c>
      <c r="N20" s="23">
        <v>0</v>
      </c>
      <c r="O20" s="23">
        <v>0</v>
      </c>
      <c r="P20" s="23">
        <v>0</v>
      </c>
      <c r="Q20" s="23">
        <v>0</v>
      </c>
      <c r="R20" s="23">
        <v>0</v>
      </c>
      <c r="S20" s="23">
        <v>0</v>
      </c>
    </row>
    <row r="21" spans="1:19" x14ac:dyDescent="0.25">
      <c r="A21" s="18" t="s">
        <v>95</v>
      </c>
      <c r="B21" s="23">
        <v>0</v>
      </c>
      <c r="C21" s="24">
        <v>0</v>
      </c>
      <c r="D21" s="23">
        <v>0</v>
      </c>
      <c r="E21" s="23">
        <v>0</v>
      </c>
      <c r="F21" s="23">
        <v>0</v>
      </c>
      <c r="G21" s="23">
        <v>0</v>
      </c>
      <c r="H21" s="23">
        <v>0</v>
      </c>
      <c r="I21" s="23">
        <v>0</v>
      </c>
      <c r="J21" s="23">
        <v>0</v>
      </c>
      <c r="K21" s="23">
        <v>0</v>
      </c>
      <c r="L21" s="23">
        <v>0</v>
      </c>
      <c r="M21" s="23">
        <v>0</v>
      </c>
      <c r="N21" s="23">
        <v>0</v>
      </c>
      <c r="O21" s="23">
        <v>0</v>
      </c>
      <c r="P21" s="23">
        <v>0</v>
      </c>
      <c r="Q21" s="23">
        <v>0</v>
      </c>
      <c r="R21" s="23">
        <v>-55275</v>
      </c>
      <c r="S21" s="23">
        <v>-37968</v>
      </c>
    </row>
    <row r="22" spans="1:19" x14ac:dyDescent="0.25">
      <c r="A22" s="18" t="s">
        <v>79</v>
      </c>
      <c r="B22" s="23">
        <v>0</v>
      </c>
      <c r="C22" s="24">
        <v>0</v>
      </c>
      <c r="D22" s="23">
        <v>0</v>
      </c>
      <c r="E22" s="23">
        <v>0</v>
      </c>
      <c r="F22" s="23">
        <v>0</v>
      </c>
      <c r="G22" s="23">
        <v>0</v>
      </c>
      <c r="H22" s="23">
        <v>0</v>
      </c>
      <c r="I22" s="23">
        <v>0</v>
      </c>
      <c r="J22" s="23">
        <v>0</v>
      </c>
      <c r="K22" s="23">
        <v>0</v>
      </c>
      <c r="L22" s="23">
        <v>-56977</v>
      </c>
      <c r="M22" s="23">
        <v>0</v>
      </c>
      <c r="N22" s="23">
        <v>0</v>
      </c>
      <c r="O22" s="23">
        <v>0</v>
      </c>
      <c r="P22" s="23">
        <v>0</v>
      </c>
      <c r="Q22" s="23">
        <v>0</v>
      </c>
      <c r="R22" s="23">
        <v>0</v>
      </c>
      <c r="S22" s="23">
        <v>0</v>
      </c>
    </row>
    <row r="23" spans="1:19" x14ac:dyDescent="0.25">
      <c r="A23" s="18" t="s">
        <v>80</v>
      </c>
      <c r="B23" s="25">
        <f>SUM(B13:B22)</f>
        <v>2479247</v>
      </c>
      <c r="C23" s="26">
        <f t="shared" ref="C23:S23" si="4">SUM(C13:C22)</f>
        <v>2377399</v>
      </c>
      <c r="D23" s="25">
        <f t="shared" ref="D23:I23" si="5">SUM(D13:D22)</f>
        <v>9821427</v>
      </c>
      <c r="E23" s="25">
        <f t="shared" si="5"/>
        <v>9855968</v>
      </c>
      <c r="F23" s="25">
        <f t="shared" si="5"/>
        <v>9745162</v>
      </c>
      <c r="G23" s="25">
        <f t="shared" si="5"/>
        <v>9879027</v>
      </c>
      <c r="H23" s="25">
        <f t="shared" si="5"/>
        <v>9063879</v>
      </c>
      <c r="I23" s="25">
        <f t="shared" si="5"/>
        <v>12850562</v>
      </c>
      <c r="J23" s="25">
        <f t="shared" si="4"/>
        <v>12611142</v>
      </c>
      <c r="K23" s="25">
        <f t="shared" si="4"/>
        <v>10979965</v>
      </c>
      <c r="L23" s="25">
        <f t="shared" si="4"/>
        <v>10213916</v>
      </c>
      <c r="M23" s="25">
        <f t="shared" si="4"/>
        <v>6889196</v>
      </c>
      <c r="N23" s="25">
        <f t="shared" si="4"/>
        <v>5577093</v>
      </c>
      <c r="O23" s="25">
        <f t="shared" si="4"/>
        <v>5225802</v>
      </c>
      <c r="P23" s="25">
        <f t="shared" si="4"/>
        <v>5161020</v>
      </c>
      <c r="Q23" s="25">
        <f t="shared" si="4"/>
        <v>4791077</v>
      </c>
      <c r="R23" s="25">
        <f t="shared" si="4"/>
        <v>4355240</v>
      </c>
      <c r="S23" s="25">
        <f t="shared" si="4"/>
        <v>4141230</v>
      </c>
    </row>
    <row r="24" spans="1:19" ht="21" x14ac:dyDescent="0.25">
      <c r="A24" s="18" t="s">
        <v>82</v>
      </c>
      <c r="B24" s="25">
        <f>B11-B23</f>
        <v>338308</v>
      </c>
      <c r="C24" s="26">
        <f t="shared" ref="C24:S24" si="6">C11-C23</f>
        <v>442602</v>
      </c>
      <c r="D24" s="66">
        <f t="shared" ref="D24:I24" si="7">D11-D23</f>
        <v>1797370</v>
      </c>
      <c r="E24" s="25">
        <f t="shared" si="7"/>
        <v>1694636</v>
      </c>
      <c r="F24" s="25">
        <f t="shared" si="7"/>
        <v>1643317</v>
      </c>
      <c r="G24" s="25">
        <f t="shared" si="7"/>
        <v>1525824</v>
      </c>
      <c r="H24" s="25">
        <f t="shared" si="7"/>
        <v>1812755</v>
      </c>
      <c r="I24" s="25">
        <f t="shared" si="7"/>
        <v>1894543</v>
      </c>
      <c r="J24" s="25">
        <f t="shared" si="6"/>
        <v>1170695</v>
      </c>
      <c r="K24" s="25">
        <f t="shared" si="6"/>
        <v>1815141</v>
      </c>
      <c r="L24" s="25">
        <f t="shared" si="6"/>
        <v>1550134</v>
      </c>
      <c r="M24" s="25">
        <f t="shared" si="6"/>
        <v>1297084</v>
      </c>
      <c r="N24" s="25">
        <f t="shared" si="6"/>
        <v>1154713</v>
      </c>
      <c r="O24" s="25">
        <f t="shared" si="6"/>
        <v>993808</v>
      </c>
      <c r="P24" s="25">
        <f t="shared" si="6"/>
        <v>939628</v>
      </c>
      <c r="Q24" s="25">
        <f t="shared" si="6"/>
        <v>869096</v>
      </c>
      <c r="R24" s="25">
        <f t="shared" si="6"/>
        <v>908911</v>
      </c>
      <c r="S24" s="25">
        <f t="shared" si="6"/>
        <v>739432</v>
      </c>
    </row>
    <row r="25" spans="1:19" x14ac:dyDescent="0.25">
      <c r="A25" s="18" t="s">
        <v>83</v>
      </c>
      <c r="B25" s="23">
        <v>-73791</v>
      </c>
      <c r="C25" s="24">
        <v>-67014</v>
      </c>
      <c r="D25" s="23">
        <v>-285254</v>
      </c>
      <c r="E25" s="23">
        <v>-304111</v>
      </c>
      <c r="F25" s="23">
        <v>-443824</v>
      </c>
      <c r="G25" s="23">
        <v>-487435</v>
      </c>
      <c r="H25" s="23">
        <v>-430634</v>
      </c>
      <c r="I25" s="23">
        <v>-414382</v>
      </c>
      <c r="J25" s="23">
        <v>-408380</v>
      </c>
      <c r="K25" s="23">
        <v>-410294</v>
      </c>
      <c r="L25" s="23">
        <v>-429943</v>
      </c>
      <c r="M25" s="23">
        <v>-288554</v>
      </c>
      <c r="N25" s="23">
        <v>-241090</v>
      </c>
      <c r="O25" s="23">
        <v>-181607</v>
      </c>
      <c r="P25" s="23">
        <v>-185755</v>
      </c>
      <c r="Q25" s="23">
        <v>-224716</v>
      </c>
      <c r="R25" s="23">
        <v>-257147</v>
      </c>
      <c r="S25" s="23">
        <v>-276706</v>
      </c>
    </row>
    <row r="26" spans="1:19" x14ac:dyDescent="0.25">
      <c r="A26" s="18" t="s">
        <v>84</v>
      </c>
      <c r="B26" s="23">
        <v>0</v>
      </c>
      <c r="C26" s="24">
        <v>0</v>
      </c>
      <c r="D26" s="23">
        <v>0</v>
      </c>
      <c r="E26" s="23">
        <v>-89022</v>
      </c>
      <c r="F26" s="23">
        <v>-33402</v>
      </c>
      <c r="G26" s="23">
        <v>0</v>
      </c>
      <c r="H26" s="23">
        <v>0</v>
      </c>
      <c r="I26" s="23">
        <v>0</v>
      </c>
      <c r="J26" s="23">
        <v>-48072</v>
      </c>
      <c r="K26" s="23">
        <v>-97548</v>
      </c>
      <c r="L26" s="23">
        <v>0</v>
      </c>
      <c r="M26" s="23">
        <v>-10963</v>
      </c>
      <c r="N26" s="23">
        <v>0</v>
      </c>
      <c r="O26" s="23">
        <v>-74382</v>
      </c>
      <c r="P26" s="23">
        <v>0</v>
      </c>
      <c r="Q26" s="23">
        <v>0</v>
      </c>
      <c r="R26" s="23">
        <v>0</v>
      </c>
      <c r="S26" s="23">
        <v>0</v>
      </c>
    </row>
    <row r="27" spans="1:19" x14ac:dyDescent="0.25">
      <c r="A27" s="18" t="s">
        <v>85</v>
      </c>
      <c r="B27" s="23">
        <v>-1786</v>
      </c>
      <c r="C27" s="24">
        <v>1168</v>
      </c>
      <c r="D27" s="23">
        <v>6378</v>
      </c>
      <c r="E27" s="23">
        <v>16759</v>
      </c>
      <c r="F27" s="23">
        <v>29348</v>
      </c>
      <c r="G27" s="23">
        <v>10089</v>
      </c>
      <c r="H27" s="23">
        <v>17665</v>
      </c>
      <c r="I27" s="23">
        <v>8734</v>
      </c>
      <c r="J27" s="23">
        <v>8893</v>
      </c>
      <c r="K27" s="23">
        <v>2374</v>
      </c>
      <c r="L27" s="23">
        <v>4787</v>
      </c>
      <c r="M27" s="23">
        <v>3737</v>
      </c>
      <c r="N27" s="23">
        <v>2982</v>
      </c>
      <c r="O27" s="23">
        <v>3419</v>
      </c>
      <c r="P27" s="23">
        <v>3706</v>
      </c>
      <c r="Q27" s="23">
        <v>12411</v>
      </c>
      <c r="R27" s="23">
        <v>22460</v>
      </c>
      <c r="S27" s="23">
        <v>13033</v>
      </c>
    </row>
    <row r="28" spans="1:19" x14ac:dyDescent="0.25">
      <c r="A28" s="18" t="s">
        <v>86</v>
      </c>
      <c r="B28" s="25">
        <f>SUM(B24:B27)</f>
        <v>262731</v>
      </c>
      <c r="C28" s="26">
        <f t="shared" ref="C28:S28" si="8">SUM(C24:C27)</f>
        <v>376756</v>
      </c>
      <c r="D28" s="25">
        <f t="shared" ref="D28:I28" si="9">SUM(D24:D27)</f>
        <v>1518494</v>
      </c>
      <c r="E28" s="25">
        <f t="shared" si="9"/>
        <v>1318262</v>
      </c>
      <c r="F28" s="25">
        <f t="shared" si="9"/>
        <v>1195439</v>
      </c>
      <c r="G28" s="25">
        <f t="shared" si="9"/>
        <v>1048478</v>
      </c>
      <c r="H28" s="25">
        <f t="shared" si="9"/>
        <v>1399786</v>
      </c>
      <c r="I28" s="25">
        <f t="shared" si="9"/>
        <v>1488895</v>
      </c>
      <c r="J28" s="25">
        <f t="shared" si="8"/>
        <v>723136</v>
      </c>
      <c r="K28" s="25">
        <f t="shared" si="8"/>
        <v>1309673</v>
      </c>
      <c r="L28" s="25">
        <f t="shared" si="8"/>
        <v>1124978</v>
      </c>
      <c r="M28" s="25">
        <f t="shared" si="8"/>
        <v>1001304</v>
      </c>
      <c r="N28" s="25">
        <f t="shared" si="8"/>
        <v>916605</v>
      </c>
      <c r="O28" s="25">
        <f t="shared" si="8"/>
        <v>741238</v>
      </c>
      <c r="P28" s="25">
        <f t="shared" si="8"/>
        <v>757579</v>
      </c>
      <c r="Q28" s="25">
        <f t="shared" si="8"/>
        <v>656791</v>
      </c>
      <c r="R28" s="25">
        <f t="shared" si="8"/>
        <v>674224</v>
      </c>
      <c r="S28" s="25">
        <f t="shared" si="8"/>
        <v>475759</v>
      </c>
    </row>
    <row r="29" spans="1:19" x14ac:dyDescent="0.25">
      <c r="A29" s="18" t="s">
        <v>18</v>
      </c>
      <c r="B29" s="23">
        <v>57013</v>
      </c>
      <c r="C29" s="24">
        <v>85211</v>
      </c>
      <c r="D29" s="23">
        <v>306732</v>
      </c>
      <c r="E29" s="23">
        <v>313932</v>
      </c>
      <c r="F29" s="23">
        <v>279628</v>
      </c>
      <c r="G29" s="23">
        <v>258400</v>
      </c>
      <c r="H29" s="23">
        <v>323859</v>
      </c>
      <c r="I29" s="23">
        <v>455813</v>
      </c>
      <c r="J29" s="23">
        <v>295726</v>
      </c>
      <c r="K29" s="23">
        <v>446343</v>
      </c>
      <c r="L29" s="23">
        <v>381013</v>
      </c>
      <c r="M29" s="23">
        <v>359845</v>
      </c>
      <c r="N29" s="23">
        <v>325292</v>
      </c>
      <c r="O29" s="23">
        <v>258874</v>
      </c>
      <c r="P29" s="23">
        <v>278213</v>
      </c>
      <c r="Q29" s="23">
        <v>235471</v>
      </c>
      <c r="R29" s="23">
        <v>245581</v>
      </c>
      <c r="S29" s="23">
        <v>186430</v>
      </c>
    </row>
    <row r="30" spans="1:19" x14ac:dyDescent="0.25">
      <c r="A30" s="18" t="s">
        <v>87</v>
      </c>
      <c r="B30" s="25">
        <f>B28-B29</f>
        <v>205718</v>
      </c>
      <c r="C30" s="26">
        <f t="shared" ref="C30:S30" si="10">C28-C29</f>
        <v>291545</v>
      </c>
      <c r="D30" s="25">
        <f t="shared" ref="D30:I30" si="11">D28-D29</f>
        <v>1211762</v>
      </c>
      <c r="E30" s="25">
        <f t="shared" si="11"/>
        <v>1004330</v>
      </c>
      <c r="F30" s="25">
        <f t="shared" si="11"/>
        <v>915811</v>
      </c>
      <c r="G30" s="25">
        <f t="shared" si="11"/>
        <v>790078</v>
      </c>
      <c r="H30" s="25">
        <f t="shared" si="11"/>
        <v>1075927</v>
      </c>
      <c r="I30" s="25">
        <f t="shared" si="11"/>
        <v>1033082</v>
      </c>
      <c r="J30" s="25">
        <f t="shared" si="10"/>
        <v>427410</v>
      </c>
      <c r="K30" s="25">
        <f t="shared" si="10"/>
        <v>863330</v>
      </c>
      <c r="L30" s="25">
        <f t="shared" si="10"/>
        <v>743965</v>
      </c>
      <c r="M30" s="25">
        <f t="shared" si="10"/>
        <v>641459</v>
      </c>
      <c r="N30" s="25">
        <f t="shared" si="10"/>
        <v>591313</v>
      </c>
      <c r="O30" s="25">
        <f t="shared" si="10"/>
        <v>482364</v>
      </c>
      <c r="P30" s="25">
        <f t="shared" si="10"/>
        <v>479366</v>
      </c>
      <c r="Q30" s="25">
        <f t="shared" si="10"/>
        <v>421320</v>
      </c>
      <c r="R30" s="25">
        <f t="shared" si="10"/>
        <v>428643</v>
      </c>
      <c r="S30" s="25">
        <f t="shared" si="10"/>
        <v>289329</v>
      </c>
    </row>
    <row r="31" spans="1:19" x14ac:dyDescent="0.25">
      <c r="A31" s="18" t="s">
        <v>88</v>
      </c>
      <c r="B31" s="23"/>
      <c r="C31" s="24"/>
      <c r="D31" s="23"/>
      <c r="E31" s="23"/>
      <c r="F31" s="23"/>
      <c r="G31" s="23"/>
      <c r="H31" s="23"/>
      <c r="I31" s="23"/>
      <c r="J31" s="23"/>
      <c r="K31" s="23"/>
      <c r="L31" s="23"/>
      <c r="M31" s="23"/>
      <c r="N31" s="23"/>
      <c r="O31" s="23"/>
      <c r="P31" s="23"/>
      <c r="Q31" s="23"/>
      <c r="R31" s="23"/>
      <c r="S31" s="23"/>
    </row>
    <row r="32" spans="1:19" x14ac:dyDescent="0.25">
      <c r="A32" s="18" t="s">
        <v>89</v>
      </c>
      <c r="B32" s="23">
        <v>0</v>
      </c>
      <c r="C32" s="24">
        <v>0</v>
      </c>
      <c r="D32" s="23">
        <v>0</v>
      </c>
      <c r="E32" s="23">
        <v>-9653</v>
      </c>
      <c r="F32" s="23">
        <v>105483</v>
      </c>
      <c r="G32" s="23">
        <v>-457038</v>
      </c>
      <c r="H32" s="23">
        <v>-245372</v>
      </c>
      <c r="I32" s="23">
        <v>0</v>
      </c>
      <c r="J32" s="23">
        <v>0</v>
      </c>
      <c r="K32" s="23">
        <v>0</v>
      </c>
      <c r="L32" s="23">
        <v>-139</v>
      </c>
      <c r="M32" s="23">
        <v>-222</v>
      </c>
      <c r="N32" s="23">
        <v>-13162</v>
      </c>
      <c r="O32" s="23">
        <v>1855</v>
      </c>
      <c r="P32" s="23">
        <v>393</v>
      </c>
      <c r="Q32" s="23">
        <v>0</v>
      </c>
      <c r="R32" s="23">
        <v>0</v>
      </c>
      <c r="S32" s="23">
        <v>0</v>
      </c>
    </row>
    <row r="33" spans="1:19" x14ac:dyDescent="0.25">
      <c r="A33" s="18" t="s">
        <v>93</v>
      </c>
      <c r="B33" s="23">
        <v>0</v>
      </c>
      <c r="C33" s="24">
        <v>0</v>
      </c>
      <c r="D33" s="23">
        <v>0</v>
      </c>
      <c r="E33" s="23">
        <v>0</v>
      </c>
      <c r="F33" s="23">
        <v>0</v>
      </c>
      <c r="G33" s="23">
        <v>0</v>
      </c>
      <c r="H33" s="23">
        <v>0</v>
      </c>
      <c r="I33" s="23">
        <v>0</v>
      </c>
      <c r="J33" s="23">
        <v>0</v>
      </c>
      <c r="K33" s="23">
        <v>0</v>
      </c>
      <c r="L33" s="23">
        <v>13375</v>
      </c>
      <c r="M33" s="23">
        <v>0</v>
      </c>
      <c r="N33" s="23">
        <v>-4756</v>
      </c>
      <c r="O33" s="23">
        <v>0</v>
      </c>
      <c r="P33" s="23">
        <v>0</v>
      </c>
      <c r="Q33" s="23">
        <v>0</v>
      </c>
      <c r="R33" s="23">
        <v>0</v>
      </c>
      <c r="S33" s="23">
        <v>362</v>
      </c>
    </row>
    <row r="34" spans="1:19" x14ac:dyDescent="0.25">
      <c r="A34" s="18" t="s">
        <v>7</v>
      </c>
      <c r="B34" s="25">
        <f>B30+B32+B33</f>
        <v>205718</v>
      </c>
      <c r="C34" s="26">
        <f t="shared" ref="C34:S34" si="12">C30+C32+C33</f>
        <v>291545</v>
      </c>
      <c r="D34" s="25">
        <f t="shared" ref="D34:I34" si="13">D30+D32+D33</f>
        <v>1211762</v>
      </c>
      <c r="E34" s="25">
        <f t="shared" si="13"/>
        <v>994677</v>
      </c>
      <c r="F34" s="25">
        <f t="shared" si="13"/>
        <v>1021294</v>
      </c>
      <c r="G34" s="25">
        <f t="shared" si="13"/>
        <v>333040</v>
      </c>
      <c r="H34" s="25">
        <f t="shared" si="13"/>
        <v>830555</v>
      </c>
      <c r="I34" s="25">
        <f t="shared" si="13"/>
        <v>1033082</v>
      </c>
      <c r="J34" s="25">
        <f t="shared" si="12"/>
        <v>427410</v>
      </c>
      <c r="K34" s="25">
        <f t="shared" si="12"/>
        <v>863330</v>
      </c>
      <c r="L34" s="25">
        <f t="shared" si="12"/>
        <v>757201</v>
      </c>
      <c r="M34" s="25">
        <f t="shared" si="12"/>
        <v>641237</v>
      </c>
      <c r="N34" s="25">
        <f t="shared" si="12"/>
        <v>573395</v>
      </c>
      <c r="O34" s="25">
        <f t="shared" si="12"/>
        <v>484219</v>
      </c>
      <c r="P34" s="25">
        <f t="shared" si="12"/>
        <v>479759</v>
      </c>
      <c r="Q34" s="25">
        <f t="shared" si="12"/>
        <v>421320</v>
      </c>
      <c r="R34" s="25">
        <f t="shared" si="12"/>
        <v>428643</v>
      </c>
      <c r="S34" s="25">
        <f t="shared" si="12"/>
        <v>289691</v>
      </c>
    </row>
    <row r="35" spans="1:19" x14ac:dyDescent="0.25">
      <c r="A35" s="18" t="s">
        <v>90</v>
      </c>
      <c r="B35" s="23">
        <v>-43596</v>
      </c>
      <c r="C35" s="24">
        <v>-54142</v>
      </c>
      <c r="D35" s="23">
        <v>-233312</v>
      </c>
      <c r="E35" s="23">
        <v>-221035</v>
      </c>
      <c r="F35" s="23">
        <v>-210313</v>
      </c>
      <c r="G35" s="23">
        <v>-173646</v>
      </c>
      <c r="H35" s="23">
        <v>-166937</v>
      </c>
      <c r="I35" s="23">
        <v>-153208</v>
      </c>
      <c r="J35" s="23">
        <v>-157678</v>
      </c>
      <c r="K35" s="23">
        <v>-140216</v>
      </c>
      <c r="L35" s="23">
        <v>-123755</v>
      </c>
      <c r="M35" s="23">
        <v>-105220</v>
      </c>
      <c r="N35" s="23">
        <v>-95394</v>
      </c>
      <c r="O35" s="23">
        <v>-78536</v>
      </c>
      <c r="P35" s="23">
        <v>-57075</v>
      </c>
      <c r="Q35" s="23">
        <v>-47160</v>
      </c>
      <c r="R35" s="23">
        <v>-46865</v>
      </c>
      <c r="S35" s="23">
        <v>0</v>
      </c>
    </row>
    <row r="36" spans="1:19" ht="20" thickBot="1" x14ac:dyDescent="0.3">
      <c r="A36" s="27" t="s">
        <v>91</v>
      </c>
      <c r="B36" s="30">
        <f>SUM(B34:B35)</f>
        <v>162122</v>
      </c>
      <c r="C36" s="31">
        <f t="shared" ref="C36:S36" si="14">SUM(C34:C35)</f>
        <v>237403</v>
      </c>
      <c r="D36" s="30">
        <f t="shared" ref="D36:I36" si="15">SUM(D34:D35)</f>
        <v>978450</v>
      </c>
      <c r="E36" s="30">
        <f t="shared" si="15"/>
        <v>773642</v>
      </c>
      <c r="F36" s="30">
        <f t="shared" si="15"/>
        <v>810981</v>
      </c>
      <c r="G36" s="30">
        <f t="shared" si="15"/>
        <v>159394</v>
      </c>
      <c r="H36" s="30">
        <f t="shared" si="15"/>
        <v>663618</v>
      </c>
      <c r="I36" s="30">
        <f t="shared" si="15"/>
        <v>879874</v>
      </c>
      <c r="J36" s="30">
        <f t="shared" si="14"/>
        <v>269732</v>
      </c>
      <c r="K36" s="30">
        <f t="shared" si="14"/>
        <v>723114</v>
      </c>
      <c r="L36" s="30">
        <f t="shared" si="14"/>
        <v>633446</v>
      </c>
      <c r="M36" s="30">
        <f t="shared" si="14"/>
        <v>536017</v>
      </c>
      <c r="N36" s="30">
        <f t="shared" si="14"/>
        <v>478001</v>
      </c>
      <c r="O36" s="30">
        <f t="shared" si="14"/>
        <v>405683</v>
      </c>
      <c r="P36" s="30">
        <f t="shared" si="14"/>
        <v>422684</v>
      </c>
      <c r="Q36" s="30">
        <f t="shared" si="14"/>
        <v>374160</v>
      </c>
      <c r="R36" s="30">
        <f t="shared" si="14"/>
        <v>381778</v>
      </c>
      <c r="S36" s="30">
        <f t="shared" si="14"/>
        <v>289691</v>
      </c>
    </row>
    <row r="37" spans="1:19" ht="20" thickTop="1" x14ac:dyDescent="0.25">
      <c r="B37" s="23"/>
      <c r="C37" s="24"/>
      <c r="D37" s="23"/>
      <c r="E37" s="23"/>
      <c r="F37" s="23"/>
      <c r="G37" s="23"/>
      <c r="H37" s="23"/>
      <c r="I37" s="23"/>
      <c r="J37" s="23"/>
      <c r="K37" s="23"/>
      <c r="L37" s="23"/>
      <c r="M37" s="23"/>
      <c r="N37" s="23"/>
      <c r="O37" s="23"/>
      <c r="P37" s="23"/>
      <c r="Q37" s="23"/>
      <c r="R37" s="23"/>
      <c r="S37" s="23"/>
    </row>
    <row r="38" spans="1:19" x14ac:dyDescent="0.25">
      <c r="A38" s="18" t="s">
        <v>19</v>
      </c>
      <c r="B38" s="23">
        <v>100503</v>
      </c>
      <c r="C38" s="24">
        <v>113852</v>
      </c>
      <c r="D38" s="23">
        <v>109948</v>
      </c>
      <c r="E38" s="23">
        <v>122623</v>
      </c>
      <c r="F38" s="23">
        <v>153812.06400000001</v>
      </c>
      <c r="G38" s="23">
        <v>172364.58100000001</v>
      </c>
      <c r="H38" s="23">
        <v>191348.533</v>
      </c>
      <c r="I38" s="23">
        <v>204904.65599999999</v>
      </c>
      <c r="J38" s="23">
        <v>216251.807</v>
      </c>
      <c r="K38" s="23">
        <v>216927.68100000001</v>
      </c>
      <c r="L38" s="23">
        <v>214763.88699999999</v>
      </c>
      <c r="M38" s="23">
        <v>195942.16</v>
      </c>
      <c r="N38" s="23">
        <v>193064.22</v>
      </c>
      <c r="O38" s="23">
        <f>103059.171*2</f>
        <v>206118.342</v>
      </c>
      <c r="P38" s="23">
        <f>104167.685*2</f>
        <v>208335.37</v>
      </c>
      <c r="Q38" s="23">
        <f>105939.725*2</f>
        <v>211879.45</v>
      </c>
      <c r="R38" s="23">
        <f>107418.24*2</f>
        <v>214836.48000000001</v>
      </c>
      <c r="S38" s="23">
        <f>105793.246*2</f>
        <v>211586.492</v>
      </c>
    </row>
    <row r="39" spans="1:19" x14ac:dyDescent="0.25">
      <c r="A39" s="18" t="s">
        <v>92</v>
      </c>
      <c r="B39" s="32">
        <f t="shared" ref="B39:I39" si="16">B36/B38</f>
        <v>1.6131060764355294</v>
      </c>
      <c r="C39" s="33">
        <f t="shared" si="16"/>
        <v>2.0851895443206971</v>
      </c>
      <c r="D39" s="32">
        <f t="shared" si="16"/>
        <v>8.899206897806236</v>
      </c>
      <c r="E39" s="32">
        <f t="shared" si="16"/>
        <v>6.3091100364531938</v>
      </c>
      <c r="F39" s="32">
        <f t="shared" si="16"/>
        <v>5.2725448115695261</v>
      </c>
      <c r="G39" s="32">
        <f t="shared" si="16"/>
        <v>0.9247491513352154</v>
      </c>
      <c r="H39" s="32">
        <f t="shared" si="16"/>
        <v>3.4681112501656859</v>
      </c>
      <c r="I39" s="32">
        <f t="shared" si="16"/>
        <v>4.2940654310949382</v>
      </c>
      <c r="J39" s="32">
        <f>J36/J38</f>
        <v>1.2473051843677774</v>
      </c>
      <c r="K39" s="32">
        <f t="shared" ref="K39:S39" si="17">K36/K38</f>
        <v>3.3334335049661088</v>
      </c>
      <c r="L39" s="32">
        <f t="shared" si="17"/>
        <v>2.9494996055831306</v>
      </c>
      <c r="M39" s="32">
        <f t="shared" si="17"/>
        <v>2.7355878898140142</v>
      </c>
      <c r="N39" s="32">
        <f t="shared" si="17"/>
        <v>2.4758652846187656</v>
      </c>
      <c r="O39" s="32">
        <f t="shared" si="17"/>
        <v>1.9682042658775123</v>
      </c>
      <c r="P39" s="32">
        <f t="shared" si="17"/>
        <v>2.0288633658317359</v>
      </c>
      <c r="Q39" s="32">
        <f t="shared" si="17"/>
        <v>1.7659098133396136</v>
      </c>
      <c r="R39" s="32">
        <f t="shared" si="17"/>
        <v>1.7770631877789098</v>
      </c>
      <c r="S39" s="32">
        <f t="shared" si="17"/>
        <v>1.3691374967358503</v>
      </c>
    </row>
    <row r="40" spans="1:19" x14ac:dyDescent="0.25">
      <c r="B40" s="23"/>
      <c r="C40" s="24"/>
      <c r="D40" s="23"/>
      <c r="E40" s="23"/>
      <c r="F40" s="23"/>
      <c r="G40" s="23"/>
      <c r="H40" s="23"/>
      <c r="I40" s="23"/>
      <c r="J40" s="23"/>
      <c r="K40" s="23"/>
      <c r="L40" s="23"/>
      <c r="M40" s="32"/>
      <c r="N40" s="32"/>
      <c r="O40" s="32"/>
      <c r="P40" s="32"/>
      <c r="Q40" s="32"/>
      <c r="R40" s="32"/>
      <c r="S40" s="32"/>
    </row>
    <row r="41" spans="1:19" x14ac:dyDescent="0.25">
      <c r="A41" s="18" t="s">
        <v>28</v>
      </c>
      <c r="B41" s="34">
        <f>B24/B11</f>
        <v>0.12007148041475676</v>
      </c>
      <c r="C41" s="35">
        <f t="shared" ref="C41:S41" si="18">C24/C11</f>
        <v>0.15695100817340135</v>
      </c>
      <c r="D41" s="34">
        <f t="shared" ref="D41:I41" si="19">D24/D11</f>
        <v>0.15469501704866692</v>
      </c>
      <c r="E41" s="34">
        <f t="shared" si="19"/>
        <v>0.14671405928209469</v>
      </c>
      <c r="F41" s="34">
        <f t="shared" si="19"/>
        <v>0.14429644204463124</v>
      </c>
      <c r="G41" s="34">
        <f t="shared" si="19"/>
        <v>0.13378728051773758</v>
      </c>
      <c r="H41" s="34">
        <f t="shared" si="19"/>
        <v>0.16666507303638239</v>
      </c>
      <c r="I41" s="34">
        <f t="shared" si="19"/>
        <v>0.1284862332279085</v>
      </c>
      <c r="J41" s="34">
        <f>J24/J11</f>
        <v>8.4944771876201988E-2</v>
      </c>
      <c r="K41" s="34">
        <f t="shared" si="18"/>
        <v>0.14186213072404402</v>
      </c>
      <c r="L41" s="34">
        <f t="shared" si="18"/>
        <v>0.13176873610703796</v>
      </c>
      <c r="M41" s="34">
        <f t="shared" si="18"/>
        <v>0.15844608295831561</v>
      </c>
      <c r="N41" s="34">
        <f t="shared" si="18"/>
        <v>0.17153093835443267</v>
      </c>
      <c r="O41" s="34">
        <f t="shared" si="18"/>
        <v>0.15978622453819452</v>
      </c>
      <c r="P41" s="34">
        <f t="shared" si="18"/>
        <v>0.15402101547245473</v>
      </c>
      <c r="Q41" s="34">
        <f t="shared" si="18"/>
        <v>0.15354583684986306</v>
      </c>
      <c r="R41" s="34">
        <f t="shared" si="18"/>
        <v>0.17266051068823823</v>
      </c>
      <c r="S41" s="34">
        <f t="shared" si="18"/>
        <v>0.15150239865001919</v>
      </c>
    </row>
    <row r="42" spans="1:19" x14ac:dyDescent="0.25">
      <c r="A42" s="18" t="s">
        <v>27</v>
      </c>
      <c r="B42" s="34">
        <f>B36/B11</f>
        <v>5.7539959290945519E-2</v>
      </c>
      <c r="C42" s="35">
        <f t="shared" ref="C42:S42" si="20">C36/C11</f>
        <v>8.418543113991804E-2</v>
      </c>
      <c r="D42" s="34">
        <f t="shared" ref="D42:I42" si="21">D36/D11</f>
        <v>8.4212677095571939E-2</v>
      </c>
      <c r="E42" s="34">
        <f t="shared" si="21"/>
        <v>6.6978488743965253E-2</v>
      </c>
      <c r="F42" s="34">
        <f t="shared" si="21"/>
        <v>7.1210650693564956E-2</v>
      </c>
      <c r="G42" s="34">
        <f t="shared" si="21"/>
        <v>1.3975982676143686E-2</v>
      </c>
      <c r="H42" s="34">
        <f t="shared" si="21"/>
        <v>6.1013177422353279E-2</v>
      </c>
      <c r="I42" s="34">
        <f t="shared" si="21"/>
        <v>5.9672277681305085E-2</v>
      </c>
      <c r="J42" s="34">
        <f t="shared" si="20"/>
        <v>1.9571556389761394E-2</v>
      </c>
      <c r="K42" s="34">
        <f t="shared" si="20"/>
        <v>5.6514889364730543E-2</v>
      </c>
      <c r="L42" s="34">
        <f t="shared" si="20"/>
        <v>5.3845911909588963E-2</v>
      </c>
      <c r="M42" s="34">
        <f t="shared" si="20"/>
        <v>6.5477481835461288E-2</v>
      </c>
      <c r="N42" s="34">
        <f t="shared" si="20"/>
        <v>7.1006354015549472E-2</v>
      </c>
      <c r="O42" s="34">
        <f t="shared" si="20"/>
        <v>6.5226437027402037E-2</v>
      </c>
      <c r="P42" s="34">
        <f t="shared" si="20"/>
        <v>6.9285098894412533E-2</v>
      </c>
      <c r="Q42" s="34">
        <f t="shared" si="20"/>
        <v>6.6103986574261947E-2</v>
      </c>
      <c r="R42" s="34">
        <f t="shared" si="20"/>
        <v>7.2524135420887439E-2</v>
      </c>
      <c r="S42" s="34">
        <f t="shared" si="20"/>
        <v>5.9354858009015993E-2</v>
      </c>
    </row>
    <row r="43" spans="1:19" x14ac:dyDescent="0.25">
      <c r="B43" s="23"/>
      <c r="C43" s="23"/>
      <c r="D43" s="23"/>
      <c r="E43" s="23"/>
      <c r="F43" s="23"/>
      <c r="G43" s="23"/>
      <c r="H43" s="23"/>
      <c r="I43" s="23"/>
      <c r="J43" s="23"/>
      <c r="K43" s="23"/>
      <c r="L43" s="23"/>
      <c r="M43" s="23"/>
      <c r="N43" s="23"/>
      <c r="O43" s="23"/>
      <c r="P43" s="23"/>
      <c r="Q43" s="23"/>
      <c r="R43" s="23"/>
      <c r="S43" s="23"/>
    </row>
    <row r="44" spans="1:19" x14ac:dyDescent="0.25">
      <c r="B44" s="23"/>
      <c r="C44" s="23"/>
      <c r="D44" s="23"/>
      <c r="E44" s="23"/>
      <c r="F44" s="23"/>
      <c r="G44" s="23"/>
      <c r="H44" s="23"/>
      <c r="I44" s="23"/>
      <c r="J44" s="23"/>
      <c r="K44" s="23"/>
      <c r="L44" s="23"/>
      <c r="M44" s="23"/>
      <c r="N44" s="23"/>
      <c r="O44" s="23"/>
      <c r="P44" s="23"/>
      <c r="Q44" s="23"/>
      <c r="R44" s="23"/>
      <c r="S44" s="23"/>
    </row>
    <row r="45" spans="1:19" x14ac:dyDescent="0.25">
      <c r="B45" s="23"/>
      <c r="C45" s="23"/>
      <c r="D45" s="23"/>
      <c r="E45" s="23"/>
      <c r="F45" s="23"/>
      <c r="G45" s="23"/>
      <c r="H45" s="23"/>
      <c r="I45" s="23"/>
      <c r="J45" s="23"/>
      <c r="K45" s="23"/>
      <c r="L45" s="23"/>
      <c r="M45" s="23"/>
      <c r="N45" s="23"/>
      <c r="O45" s="23"/>
      <c r="P45" s="23"/>
      <c r="Q45" s="23"/>
      <c r="R45" s="23"/>
      <c r="S45" s="23"/>
    </row>
    <row r="46" spans="1:19" x14ac:dyDescent="0.25">
      <c r="B46" s="23"/>
      <c r="C46" s="23"/>
      <c r="D46" s="23"/>
      <c r="E46" s="23"/>
      <c r="F46" s="23"/>
      <c r="G46" s="23"/>
      <c r="H46" s="23"/>
      <c r="I46" s="23"/>
      <c r="J46" s="23"/>
      <c r="K46" s="23"/>
      <c r="L46" s="23"/>
      <c r="M46" s="23"/>
      <c r="N46" s="23"/>
      <c r="O46" s="23"/>
      <c r="P46" s="23"/>
      <c r="Q46" s="23"/>
      <c r="R46" s="23"/>
      <c r="S46" s="23"/>
    </row>
    <row r="47" spans="1:19" x14ac:dyDescent="0.25">
      <c r="B47" s="23"/>
      <c r="C47" s="23"/>
      <c r="D47" s="23"/>
      <c r="E47" s="23"/>
      <c r="F47" s="23"/>
      <c r="G47" s="23"/>
      <c r="H47" s="23"/>
      <c r="I47" s="23"/>
      <c r="J47" s="23"/>
      <c r="K47" s="23"/>
      <c r="L47" s="23"/>
      <c r="M47" s="23"/>
      <c r="N47" s="23"/>
      <c r="O47" s="23"/>
      <c r="P47" s="23"/>
      <c r="Q47" s="23"/>
      <c r="R47" s="23"/>
      <c r="S47" s="23"/>
    </row>
    <row r="48" spans="1:19" x14ac:dyDescent="0.25">
      <c r="B48" s="23"/>
      <c r="C48" s="23"/>
      <c r="D48" s="23"/>
      <c r="E48" s="23"/>
      <c r="F48" s="23"/>
      <c r="G48" s="23"/>
      <c r="H48" s="23"/>
      <c r="I48" s="23"/>
      <c r="J48" s="23"/>
      <c r="K48" s="23"/>
      <c r="L48" s="23"/>
      <c r="M48" s="23"/>
      <c r="N48" s="23"/>
      <c r="O48" s="23"/>
      <c r="P48" s="23"/>
      <c r="Q48" s="23"/>
      <c r="R48" s="23"/>
      <c r="S48" s="23"/>
    </row>
    <row r="49" spans="2:19" x14ac:dyDescent="0.25">
      <c r="B49" s="23"/>
      <c r="C49" s="23"/>
      <c r="D49" s="23"/>
      <c r="E49" s="23"/>
      <c r="F49" s="23"/>
      <c r="G49" s="23"/>
      <c r="H49" s="23"/>
      <c r="I49" s="23"/>
      <c r="J49" s="23"/>
      <c r="K49" s="23"/>
      <c r="L49" s="23"/>
      <c r="M49" s="23"/>
      <c r="N49" s="23"/>
      <c r="O49" s="23"/>
      <c r="P49" s="23"/>
      <c r="Q49" s="23"/>
      <c r="R49" s="23"/>
      <c r="S49" s="23"/>
    </row>
  </sheetData>
  <mergeCells count="3">
    <mergeCell ref="B4:C4"/>
    <mergeCell ref="P6:S10"/>
    <mergeCell ref="D4:S4"/>
  </mergeCells>
  <pageMargins left="0.75" right="0.75" top="1" bottom="1" header="0.5" footer="0.5"/>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5"/>
  <sheetViews>
    <sheetView workbookViewId="0">
      <pane ySplit="5" topLeftCell="A6" activePane="bottomLeft" state="frozen"/>
      <selection pane="bottomLeft"/>
    </sheetView>
  </sheetViews>
  <sheetFormatPr baseColWidth="10" defaultColWidth="9.1640625" defaultRowHeight="19" x14ac:dyDescent="0.25"/>
  <cols>
    <col min="1" max="1" width="38.6640625" style="18" customWidth="1"/>
    <col min="2" max="2" width="13.5" style="18" bestFit="1" customWidth="1"/>
    <col min="3" max="8" width="13.5" style="18" customWidth="1"/>
    <col min="9" max="17" width="13.5" style="18" bestFit="1" customWidth="1"/>
    <col min="18" max="18" width="12.33203125" style="18" bestFit="1" customWidth="1"/>
    <col min="19" max="19" width="14.6640625" style="18" bestFit="1" customWidth="1"/>
    <col min="20" max="16384" width="9.1640625" style="18"/>
  </cols>
  <sheetData>
    <row r="1" spans="1:19" ht="21" x14ac:dyDescent="0.25">
      <c r="A1" s="65" t="s">
        <v>31</v>
      </c>
      <c r="B1" s="3"/>
      <c r="C1" s="3"/>
      <c r="D1" s="3"/>
      <c r="E1" s="3"/>
      <c r="F1" s="3"/>
      <c r="G1" s="3"/>
      <c r="H1" s="3"/>
      <c r="I1" s="3"/>
      <c r="J1" s="3"/>
    </row>
    <row r="2" spans="1:19" x14ac:dyDescent="0.25">
      <c r="A2" s="4" t="s">
        <v>243</v>
      </c>
      <c r="B2" s="4"/>
      <c r="C2" s="4"/>
      <c r="D2" s="4"/>
      <c r="E2" s="4"/>
      <c r="F2" s="4"/>
      <c r="G2" s="4"/>
      <c r="H2" s="4"/>
      <c r="I2" s="8"/>
      <c r="J2" s="8"/>
    </row>
    <row r="3" spans="1:19" x14ac:dyDescent="0.25">
      <c r="A3" s="4" t="s">
        <v>4</v>
      </c>
      <c r="B3" s="4"/>
      <c r="C3" s="4"/>
      <c r="D3" s="4"/>
      <c r="E3" s="4"/>
      <c r="F3" s="4"/>
      <c r="G3" s="4"/>
      <c r="H3" s="4"/>
      <c r="I3" s="8"/>
      <c r="J3" s="8"/>
    </row>
    <row r="4" spans="1:19" x14ac:dyDescent="0.25">
      <c r="A4" s="106" t="s">
        <v>8</v>
      </c>
      <c r="B4" s="36" t="s">
        <v>237</v>
      </c>
      <c r="C4" s="110" t="s">
        <v>20</v>
      </c>
      <c r="D4" s="108"/>
      <c r="E4" s="108"/>
      <c r="F4" s="108"/>
      <c r="G4" s="108"/>
      <c r="H4" s="108"/>
      <c r="I4" s="108"/>
      <c r="J4" s="108"/>
      <c r="K4" s="108"/>
      <c r="L4" s="108"/>
      <c r="M4" s="108"/>
      <c r="N4" s="108"/>
      <c r="O4" s="108"/>
      <c r="P4" s="108"/>
      <c r="Q4" s="108"/>
      <c r="R4" s="111"/>
      <c r="S4" s="113" t="s">
        <v>326</v>
      </c>
    </row>
    <row r="5" spans="1:19" x14ac:dyDescent="0.25">
      <c r="A5" s="107"/>
      <c r="B5" s="37">
        <v>44651</v>
      </c>
      <c r="C5" s="38">
        <v>2021</v>
      </c>
      <c r="D5" s="38">
        <v>2020</v>
      </c>
      <c r="E5" s="38">
        <v>2019</v>
      </c>
      <c r="F5" s="38">
        <v>2018</v>
      </c>
      <c r="G5" s="38">
        <v>2017</v>
      </c>
      <c r="H5" s="38">
        <v>2016</v>
      </c>
      <c r="I5" s="38">
        <v>2015</v>
      </c>
      <c r="J5" s="38">
        <v>2014</v>
      </c>
      <c r="K5" s="38">
        <v>2013</v>
      </c>
      <c r="L5" s="38">
        <v>2012</v>
      </c>
      <c r="M5" s="38">
        <v>2011</v>
      </c>
      <c r="N5" s="38">
        <v>2010</v>
      </c>
      <c r="O5" s="38">
        <v>2009</v>
      </c>
      <c r="P5" s="38">
        <v>2008</v>
      </c>
      <c r="Q5" s="38">
        <v>2007</v>
      </c>
      <c r="R5" s="38">
        <v>2006</v>
      </c>
      <c r="S5" s="113"/>
    </row>
    <row r="6" spans="1:19" x14ac:dyDescent="0.25">
      <c r="A6" s="27" t="s">
        <v>10</v>
      </c>
      <c r="B6" s="26"/>
      <c r="C6" s="48"/>
      <c r="D6" s="48"/>
      <c r="E6" s="48"/>
      <c r="F6" s="48"/>
      <c r="G6" s="48"/>
      <c r="H6" s="48"/>
      <c r="I6" s="23"/>
      <c r="J6" s="23"/>
      <c r="K6" s="23"/>
      <c r="L6" s="23"/>
      <c r="M6" s="23"/>
      <c r="N6" s="23"/>
      <c r="O6" s="23"/>
      <c r="P6" s="23"/>
      <c r="Q6" s="23"/>
      <c r="R6" s="23"/>
      <c r="S6" s="39"/>
    </row>
    <row r="7" spans="1:19" x14ac:dyDescent="0.25">
      <c r="A7" s="27" t="s">
        <v>96</v>
      </c>
      <c r="B7" s="40">
        <v>205718</v>
      </c>
      <c r="C7" s="41">
        <v>1211762</v>
      </c>
      <c r="D7" s="41">
        <v>994677</v>
      </c>
      <c r="E7" s="41">
        <v>1021294</v>
      </c>
      <c r="F7" s="41">
        <v>333040</v>
      </c>
      <c r="G7" s="41">
        <v>830555</v>
      </c>
      <c r="H7" s="41">
        <v>1033082</v>
      </c>
      <c r="I7" s="41">
        <v>427410</v>
      </c>
      <c r="J7" s="41">
        <v>863330</v>
      </c>
      <c r="K7" s="41">
        <v>757201</v>
      </c>
      <c r="L7" s="41">
        <v>641237</v>
      </c>
      <c r="M7" s="41">
        <v>573395</v>
      </c>
      <c r="N7" s="41">
        <v>484219</v>
      </c>
      <c r="O7" s="41">
        <v>479759</v>
      </c>
      <c r="P7" s="41">
        <v>421320</v>
      </c>
      <c r="Q7" s="41">
        <v>428643</v>
      </c>
      <c r="R7" s="41">
        <v>289691</v>
      </c>
      <c r="S7" s="42">
        <f>SUM(B7:R7)</f>
        <v>10996333</v>
      </c>
    </row>
    <row r="8" spans="1:19" x14ac:dyDescent="0.25">
      <c r="A8" s="18" t="s">
        <v>97</v>
      </c>
      <c r="B8" s="24"/>
      <c r="C8" s="23"/>
      <c r="D8" s="23"/>
      <c r="E8" s="23"/>
      <c r="F8" s="23"/>
      <c r="G8" s="23"/>
      <c r="H8" s="23"/>
      <c r="I8" s="23"/>
      <c r="J8" s="23"/>
      <c r="K8" s="23"/>
      <c r="L8" s="23"/>
      <c r="M8" s="23"/>
      <c r="N8" s="23"/>
      <c r="O8" s="23"/>
      <c r="P8" s="23"/>
      <c r="Q8" s="23"/>
      <c r="R8" s="23"/>
      <c r="S8" s="39"/>
    </row>
    <row r="9" spans="1:19" x14ac:dyDescent="0.25">
      <c r="A9" s="18" t="s">
        <v>98</v>
      </c>
      <c r="B9" s="24">
        <v>0</v>
      </c>
      <c r="C9" s="23">
        <v>0</v>
      </c>
      <c r="D9" s="23">
        <v>0</v>
      </c>
      <c r="E9" s="23">
        <v>0</v>
      </c>
      <c r="F9" s="23">
        <v>0</v>
      </c>
      <c r="G9" s="23">
        <v>0</v>
      </c>
      <c r="H9" s="23">
        <v>0</v>
      </c>
      <c r="I9" s="23">
        <v>495000</v>
      </c>
      <c r="J9" s="23">
        <v>17000</v>
      </c>
      <c r="K9" s="23">
        <v>397000</v>
      </c>
      <c r="L9" s="23">
        <v>0</v>
      </c>
      <c r="M9" s="23">
        <v>0</v>
      </c>
      <c r="N9" s="23">
        <v>0</v>
      </c>
      <c r="O9" s="23">
        <v>0</v>
      </c>
      <c r="P9" s="23">
        <v>0</v>
      </c>
      <c r="Q9" s="23">
        <v>0</v>
      </c>
      <c r="R9" s="23">
        <v>0</v>
      </c>
      <c r="S9" s="39">
        <f>SUM(B9:R9)</f>
        <v>909000</v>
      </c>
    </row>
    <row r="10" spans="1:19" x14ac:dyDescent="0.25">
      <c r="A10" s="18" t="s">
        <v>99</v>
      </c>
      <c r="B10" s="24">
        <v>172944</v>
      </c>
      <c r="C10" s="23">
        <v>680615</v>
      </c>
      <c r="D10" s="23">
        <v>630435</v>
      </c>
      <c r="E10" s="23">
        <v>615152</v>
      </c>
      <c r="F10" s="23">
        <v>591035</v>
      </c>
      <c r="G10" s="23">
        <v>777485</v>
      </c>
      <c r="H10" s="23">
        <v>720252</v>
      </c>
      <c r="I10" s="23">
        <v>638024</v>
      </c>
      <c r="J10" s="23">
        <v>590935</v>
      </c>
      <c r="K10" s="23">
        <v>528119</v>
      </c>
      <c r="L10" s="23">
        <v>343908</v>
      </c>
      <c r="M10" s="23">
        <v>267315</v>
      </c>
      <c r="N10" s="23">
        <v>234378</v>
      </c>
      <c r="O10" s="23">
        <v>228986</v>
      </c>
      <c r="P10" s="23">
        <v>216917</v>
      </c>
      <c r="Q10" s="23">
        <v>193470</v>
      </c>
      <c r="R10" s="23">
        <v>173295</v>
      </c>
      <c r="S10" s="39">
        <f t="shared" ref="S10:S32" si="0">SUM(B10:R10)</f>
        <v>7603265</v>
      </c>
    </row>
    <row r="11" spans="1:19" x14ac:dyDescent="0.25">
      <c r="A11" s="18" t="s">
        <v>145</v>
      </c>
      <c r="B11" s="24">
        <v>0</v>
      </c>
      <c r="C11" s="23">
        <v>0</v>
      </c>
      <c r="D11" s="23">
        <v>0</v>
      </c>
      <c r="E11" s="23">
        <v>0</v>
      </c>
      <c r="F11" s="23">
        <v>0</v>
      </c>
      <c r="G11" s="23">
        <v>0</v>
      </c>
      <c r="H11" s="23">
        <v>0</v>
      </c>
      <c r="I11" s="23">
        <v>0</v>
      </c>
      <c r="J11" s="23">
        <v>0</v>
      </c>
      <c r="K11" s="23">
        <v>0</v>
      </c>
      <c r="L11" s="23">
        <v>0</v>
      </c>
      <c r="M11" s="23">
        <v>0</v>
      </c>
      <c r="N11" s="23">
        <v>0</v>
      </c>
      <c r="O11" s="23">
        <v>0</v>
      </c>
      <c r="P11" s="23">
        <v>0</v>
      </c>
      <c r="Q11" s="23">
        <v>-55275</v>
      </c>
      <c r="R11" s="23">
        <v>-37968</v>
      </c>
      <c r="S11" s="39">
        <f t="shared" si="0"/>
        <v>-93243</v>
      </c>
    </row>
    <row r="12" spans="1:19" x14ac:dyDescent="0.25">
      <c r="A12" s="18" t="s">
        <v>100</v>
      </c>
      <c r="B12" s="24">
        <v>0</v>
      </c>
      <c r="C12" s="23">
        <v>0</v>
      </c>
      <c r="D12" s="23">
        <v>0</v>
      </c>
      <c r="E12" s="23">
        <v>124892</v>
      </c>
      <c r="F12" s="23">
        <v>61981</v>
      </c>
      <c r="G12" s="23">
        <v>981589</v>
      </c>
      <c r="H12" s="23">
        <v>296408</v>
      </c>
      <c r="I12" s="23">
        <v>210234</v>
      </c>
      <c r="J12" s="23">
        <v>0</v>
      </c>
      <c r="K12" s="23">
        <v>0</v>
      </c>
      <c r="L12" s="23">
        <v>0</v>
      </c>
      <c r="M12" s="23">
        <v>24000</v>
      </c>
      <c r="N12" s="23">
        <v>0</v>
      </c>
      <c r="O12" s="23">
        <v>0</v>
      </c>
      <c r="P12" s="23">
        <v>0</v>
      </c>
      <c r="Q12" s="23">
        <v>0</v>
      </c>
      <c r="R12" s="23">
        <v>0</v>
      </c>
      <c r="S12" s="39">
        <f t="shared" si="0"/>
        <v>1699104</v>
      </c>
    </row>
    <row r="13" spans="1:19" x14ac:dyDescent="0.25">
      <c r="A13" s="18" t="s">
        <v>101</v>
      </c>
      <c r="B13" s="24">
        <v>0</v>
      </c>
      <c r="C13" s="23">
        <v>0</v>
      </c>
      <c r="D13" s="23">
        <v>86957</v>
      </c>
      <c r="E13" s="23">
        <v>33402</v>
      </c>
      <c r="F13" s="23">
        <v>0</v>
      </c>
      <c r="G13" s="23">
        <v>0</v>
      </c>
      <c r="H13" s="23">
        <v>0</v>
      </c>
      <c r="I13" s="23">
        <v>48072</v>
      </c>
      <c r="J13" s="23">
        <v>97548</v>
      </c>
      <c r="K13" s="23">
        <v>0</v>
      </c>
      <c r="L13" s="23">
        <v>0</v>
      </c>
      <c r="M13" s="23">
        <v>0</v>
      </c>
      <c r="N13" s="23">
        <v>74382</v>
      </c>
      <c r="O13" s="23">
        <v>0</v>
      </c>
      <c r="P13" s="23">
        <v>0</v>
      </c>
      <c r="Q13" s="23">
        <v>0</v>
      </c>
      <c r="R13" s="23">
        <v>0</v>
      </c>
      <c r="S13" s="39">
        <f t="shared" si="0"/>
        <v>340361</v>
      </c>
    </row>
    <row r="14" spans="1:19" x14ac:dyDescent="0.25">
      <c r="A14" s="18" t="s">
        <v>239</v>
      </c>
      <c r="B14" s="24">
        <v>0</v>
      </c>
      <c r="C14" s="23">
        <v>0</v>
      </c>
      <c r="D14" s="23">
        <v>0</v>
      </c>
      <c r="E14" s="23">
        <v>0</v>
      </c>
      <c r="F14" s="23">
        <v>316840</v>
      </c>
      <c r="G14" s="23">
        <v>0</v>
      </c>
      <c r="H14" s="23">
        <v>0</v>
      </c>
      <c r="I14" s="23">
        <v>0</v>
      </c>
      <c r="J14" s="23">
        <v>0</v>
      </c>
      <c r="K14" s="23">
        <v>0</v>
      </c>
      <c r="L14" s="23">
        <v>0</v>
      </c>
      <c r="M14" s="23">
        <v>0</v>
      </c>
      <c r="N14" s="23">
        <v>0</v>
      </c>
      <c r="O14" s="23">
        <v>0</v>
      </c>
      <c r="P14" s="23">
        <v>0</v>
      </c>
      <c r="Q14" s="23">
        <v>0</v>
      </c>
      <c r="R14" s="23">
        <v>0</v>
      </c>
      <c r="S14" s="39">
        <f t="shared" si="0"/>
        <v>316840</v>
      </c>
    </row>
    <row r="15" spans="1:19" x14ac:dyDescent="0.25">
      <c r="A15" s="18" t="s">
        <v>102</v>
      </c>
      <c r="B15" s="24">
        <v>24904</v>
      </c>
      <c r="C15" s="23">
        <v>102209</v>
      </c>
      <c r="D15" s="23">
        <v>91458</v>
      </c>
      <c r="E15" s="23">
        <v>67850</v>
      </c>
      <c r="F15" s="23">
        <v>73061</v>
      </c>
      <c r="G15" s="23">
        <v>35092</v>
      </c>
      <c r="H15" s="23">
        <v>38338</v>
      </c>
      <c r="I15" s="23">
        <v>56664</v>
      </c>
      <c r="J15" s="23">
        <v>56743</v>
      </c>
      <c r="K15" s="23">
        <v>59998</v>
      </c>
      <c r="L15" s="23">
        <v>45384</v>
      </c>
      <c r="M15" s="23">
        <v>48718</v>
      </c>
      <c r="N15" s="23">
        <v>45551</v>
      </c>
      <c r="O15" s="23">
        <v>44422</v>
      </c>
      <c r="P15" s="23">
        <v>41235</v>
      </c>
      <c r="Q15" s="23">
        <v>34149</v>
      </c>
      <c r="R15" s="23">
        <v>26389</v>
      </c>
      <c r="S15" s="39">
        <f t="shared" si="0"/>
        <v>892165</v>
      </c>
    </row>
    <row r="16" spans="1:19" x14ac:dyDescent="0.25">
      <c r="A16" s="18" t="s">
        <v>103</v>
      </c>
      <c r="B16" s="24">
        <v>0</v>
      </c>
      <c r="C16" s="23">
        <v>0</v>
      </c>
      <c r="D16" s="23">
        <v>0</v>
      </c>
      <c r="E16" s="23">
        <v>0</v>
      </c>
      <c r="F16" s="23">
        <v>0</v>
      </c>
      <c r="G16" s="23">
        <v>0</v>
      </c>
      <c r="H16" s="23">
        <v>0</v>
      </c>
      <c r="I16" s="23">
        <v>45749</v>
      </c>
      <c r="J16" s="23">
        <v>59119</v>
      </c>
      <c r="K16" s="23">
        <v>46898</v>
      </c>
      <c r="L16" s="23">
        <v>88964</v>
      </c>
      <c r="M16" s="23">
        <v>38199</v>
      </c>
      <c r="N16" s="23">
        <v>26706</v>
      </c>
      <c r="O16" s="23">
        <v>18241</v>
      </c>
      <c r="P16" s="23">
        <v>13988</v>
      </c>
      <c r="Q16" s="23">
        <v>32788</v>
      </c>
      <c r="R16" s="23">
        <v>40375</v>
      </c>
      <c r="S16" s="39">
        <f t="shared" si="0"/>
        <v>411027</v>
      </c>
    </row>
    <row r="17" spans="1:19" x14ac:dyDescent="0.25">
      <c r="A17" s="18" t="s">
        <v>104</v>
      </c>
      <c r="B17" s="24">
        <v>0</v>
      </c>
      <c r="C17" s="23">
        <v>0</v>
      </c>
      <c r="D17" s="23">
        <v>0</v>
      </c>
      <c r="E17" s="23">
        <v>0</v>
      </c>
      <c r="F17" s="23">
        <v>0</v>
      </c>
      <c r="G17" s="23">
        <v>0</v>
      </c>
      <c r="H17" s="23">
        <v>0</v>
      </c>
      <c r="I17" s="23">
        <v>-28157</v>
      </c>
      <c r="J17" s="23">
        <v>-45271</v>
      </c>
      <c r="K17" s="23">
        <v>-36197</v>
      </c>
      <c r="L17" s="23">
        <v>-62036</v>
      </c>
      <c r="M17" s="23">
        <v>-20834</v>
      </c>
      <c r="N17" s="23">
        <v>-6283</v>
      </c>
      <c r="O17" s="23">
        <v>-6950</v>
      </c>
      <c r="P17" s="23">
        <v>-8013</v>
      </c>
      <c r="Q17" s="23">
        <v>-25541</v>
      </c>
      <c r="R17" s="23">
        <v>-37251</v>
      </c>
      <c r="S17" s="39">
        <f t="shared" si="0"/>
        <v>-276533</v>
      </c>
    </row>
    <row r="18" spans="1:19" x14ac:dyDescent="0.25">
      <c r="A18" s="18" t="s">
        <v>105</v>
      </c>
      <c r="B18" s="24">
        <v>-41</v>
      </c>
      <c r="C18" s="23">
        <v>60483</v>
      </c>
      <c r="D18" s="23">
        <v>240848</v>
      </c>
      <c r="E18" s="23">
        <v>41723</v>
      </c>
      <c r="F18" s="23">
        <v>273660</v>
      </c>
      <c r="G18" s="23">
        <v>-395217</v>
      </c>
      <c r="H18" s="23">
        <v>52010</v>
      </c>
      <c r="I18" s="23">
        <v>61744</v>
      </c>
      <c r="J18" s="23">
        <v>210955</v>
      </c>
      <c r="K18" s="23">
        <v>-25380</v>
      </c>
      <c r="L18" s="23">
        <v>43765</v>
      </c>
      <c r="M18" s="23">
        <v>53438</v>
      </c>
      <c r="N18" s="23">
        <v>75399</v>
      </c>
      <c r="O18" s="23">
        <v>50869</v>
      </c>
      <c r="P18" s="23">
        <v>94912</v>
      </c>
      <c r="Q18" s="23">
        <v>18601</v>
      </c>
      <c r="R18" s="23">
        <v>2342</v>
      </c>
      <c r="S18" s="39">
        <f t="shared" si="0"/>
        <v>860111</v>
      </c>
    </row>
    <row r="19" spans="1:19" x14ac:dyDescent="0.25">
      <c r="A19" s="18" t="s">
        <v>106</v>
      </c>
      <c r="B19" s="24">
        <v>664</v>
      </c>
      <c r="C19" s="23">
        <v>5215</v>
      </c>
      <c r="D19" s="23">
        <v>13830</v>
      </c>
      <c r="E19" s="23">
        <v>8582</v>
      </c>
      <c r="F19" s="23">
        <v>26449</v>
      </c>
      <c r="G19" s="23">
        <v>28925</v>
      </c>
      <c r="H19" s="23">
        <v>17766</v>
      </c>
      <c r="I19" s="23">
        <v>9293</v>
      </c>
      <c r="J19" s="23">
        <v>10125</v>
      </c>
      <c r="K19" s="23">
        <v>2872</v>
      </c>
      <c r="L19" s="23">
        <v>3384</v>
      </c>
      <c r="M19" s="23">
        <v>354</v>
      </c>
      <c r="N19" s="23">
        <v>-3298</v>
      </c>
      <c r="O19" s="23">
        <v>-204</v>
      </c>
      <c r="P19" s="23">
        <v>-796</v>
      </c>
      <c r="Q19" s="23">
        <v>-1217</v>
      </c>
      <c r="R19" s="23">
        <v>-2308</v>
      </c>
      <c r="S19" s="39">
        <f t="shared" si="0"/>
        <v>119636</v>
      </c>
    </row>
    <row r="20" spans="1:19" x14ac:dyDescent="0.25">
      <c r="A20" s="18" t="s">
        <v>144</v>
      </c>
      <c r="B20" s="24">
        <v>0</v>
      </c>
      <c r="C20" s="23">
        <v>0</v>
      </c>
      <c r="D20" s="23">
        <v>24248</v>
      </c>
      <c r="E20" s="23">
        <v>23022</v>
      </c>
      <c r="F20" s="23">
        <v>-85699</v>
      </c>
      <c r="G20" s="23">
        <v>-23402</v>
      </c>
      <c r="H20" s="23">
        <v>-404165</v>
      </c>
      <c r="I20" s="23">
        <v>0</v>
      </c>
      <c r="J20" s="23">
        <v>0</v>
      </c>
      <c r="K20" s="23">
        <v>0</v>
      </c>
      <c r="L20" s="23">
        <v>0</v>
      </c>
      <c r="M20" s="23">
        <v>0</v>
      </c>
      <c r="N20" s="23">
        <v>0</v>
      </c>
      <c r="O20" s="23">
        <v>0</v>
      </c>
      <c r="P20" s="23">
        <v>0</v>
      </c>
      <c r="Q20" s="23">
        <v>0</v>
      </c>
      <c r="R20" s="23">
        <v>0</v>
      </c>
      <c r="S20" s="39">
        <f t="shared" si="0"/>
        <v>-465996</v>
      </c>
    </row>
    <row r="21" spans="1:19" x14ac:dyDescent="0.25">
      <c r="A21" s="18" t="s">
        <v>107</v>
      </c>
      <c r="B21" s="24">
        <v>4714</v>
      </c>
      <c r="C21" s="23">
        <v>11231</v>
      </c>
      <c r="D21" s="23">
        <v>747</v>
      </c>
      <c r="E21" s="23">
        <v>49579</v>
      </c>
      <c r="F21" s="23">
        <v>82374</v>
      </c>
      <c r="G21" s="23">
        <v>66920</v>
      </c>
      <c r="H21" s="23">
        <v>-7343</v>
      </c>
      <c r="I21" s="23">
        <v>44691</v>
      </c>
      <c r="J21" s="23">
        <v>39274</v>
      </c>
      <c r="K21" s="23">
        <v>-31351</v>
      </c>
      <c r="L21" s="23">
        <v>30390</v>
      </c>
      <c r="M21" s="23">
        <v>20329</v>
      </c>
      <c r="N21" s="23">
        <v>9585</v>
      </c>
      <c r="O21" s="23">
        <v>20945</v>
      </c>
      <c r="P21" s="23">
        <f>15216+11794</f>
        <v>27010</v>
      </c>
      <c r="Q21" s="23">
        <f>-2825+12713</f>
        <v>9888</v>
      </c>
      <c r="R21" s="23">
        <f>38141-32271+239+27736</f>
        <v>33845</v>
      </c>
      <c r="S21" s="39">
        <f t="shared" si="0"/>
        <v>412828</v>
      </c>
    </row>
    <row r="22" spans="1:19" x14ac:dyDescent="0.25">
      <c r="A22" s="18" t="s">
        <v>147</v>
      </c>
      <c r="B22" s="24"/>
      <c r="C22" s="23"/>
      <c r="D22" s="23"/>
      <c r="E22" s="23"/>
      <c r="F22" s="23"/>
      <c r="G22" s="23"/>
      <c r="H22" s="23"/>
      <c r="I22" s="23"/>
      <c r="J22" s="23"/>
      <c r="K22" s="23"/>
      <c r="L22" s="23"/>
      <c r="M22" s="23"/>
      <c r="N22" s="23"/>
      <c r="O22" s="23"/>
      <c r="P22" s="23"/>
      <c r="Q22" s="23"/>
      <c r="R22" s="23"/>
      <c r="S22" s="39">
        <f t="shared" si="0"/>
        <v>0</v>
      </c>
    </row>
    <row r="23" spans="1:19" x14ac:dyDescent="0.25">
      <c r="A23" s="18" t="s">
        <v>108</v>
      </c>
      <c r="B23" s="24">
        <v>-66270</v>
      </c>
      <c r="C23" s="23">
        <v>-138140</v>
      </c>
      <c r="D23" s="23">
        <v>-21087</v>
      </c>
      <c r="E23" s="23">
        <v>-79957</v>
      </c>
      <c r="F23" s="23">
        <v>-81176</v>
      </c>
      <c r="G23" s="23">
        <v>-156305</v>
      </c>
      <c r="H23" s="23">
        <v>-152240</v>
      </c>
      <c r="I23" s="23">
        <v>-202867</v>
      </c>
      <c r="J23" s="23">
        <v>-40676</v>
      </c>
      <c r="K23" s="23">
        <v>-59640</v>
      </c>
      <c r="L23" s="23">
        <v>-47673</v>
      </c>
      <c r="M23" s="23">
        <v>-88848</v>
      </c>
      <c r="N23" s="23">
        <v>55379</v>
      </c>
      <c r="O23" s="23">
        <v>-32313</v>
      </c>
      <c r="P23" s="23">
        <v>-149939</v>
      </c>
      <c r="Q23" s="23">
        <v>15911</v>
      </c>
      <c r="R23" s="23">
        <v>-74737</v>
      </c>
      <c r="S23" s="39">
        <f t="shared" si="0"/>
        <v>-1320578</v>
      </c>
    </row>
    <row r="24" spans="1:19" x14ac:dyDescent="0.25">
      <c r="A24" s="18" t="s">
        <v>109</v>
      </c>
      <c r="B24" s="24">
        <v>849</v>
      </c>
      <c r="C24" s="23">
        <v>5720</v>
      </c>
      <c r="D24" s="23">
        <v>-12349</v>
      </c>
      <c r="E24" s="23">
        <v>10158</v>
      </c>
      <c r="F24" s="23">
        <v>73505</v>
      </c>
      <c r="G24" s="23">
        <v>-18625</v>
      </c>
      <c r="H24" s="23">
        <v>22920</v>
      </c>
      <c r="I24" s="23">
        <v>-48313</v>
      </c>
      <c r="J24" s="23">
        <v>-46398</v>
      </c>
      <c r="K24" s="23">
        <v>-8971</v>
      </c>
      <c r="L24" s="23">
        <v>4052</v>
      </c>
      <c r="M24" s="23">
        <v>10270</v>
      </c>
      <c r="N24" s="23">
        <v>-3892</v>
      </c>
      <c r="O24" s="23">
        <v>15115</v>
      </c>
      <c r="P24" s="23">
        <v>-2715</v>
      </c>
      <c r="Q24" s="23">
        <v>11271</v>
      </c>
      <c r="R24" s="23">
        <v>-18587</v>
      </c>
      <c r="S24" s="39">
        <f t="shared" si="0"/>
        <v>-5990</v>
      </c>
    </row>
    <row r="25" spans="1:19" x14ac:dyDescent="0.25">
      <c r="A25" s="18" t="s">
        <v>110</v>
      </c>
      <c r="B25" s="24">
        <v>-17966</v>
      </c>
      <c r="C25" s="23">
        <v>128661</v>
      </c>
      <c r="D25" s="23">
        <v>-79277</v>
      </c>
      <c r="E25" s="23">
        <v>2790</v>
      </c>
      <c r="F25" s="23">
        <v>236995</v>
      </c>
      <c r="G25" s="23">
        <v>-111432</v>
      </c>
      <c r="H25" s="23">
        <v>-45351</v>
      </c>
      <c r="I25" s="23">
        <v>32761</v>
      </c>
      <c r="J25" s="23">
        <v>-61674</v>
      </c>
      <c r="K25" s="23">
        <v>-108434</v>
      </c>
      <c r="L25" s="23">
        <v>51730</v>
      </c>
      <c r="M25" s="23">
        <v>53697</v>
      </c>
      <c r="N25" s="23">
        <v>-44719</v>
      </c>
      <c r="O25" s="23">
        <v>-35104</v>
      </c>
      <c r="P25" s="23">
        <v>-40960</v>
      </c>
      <c r="Q25" s="23">
        <v>-61049</v>
      </c>
      <c r="R25" s="23">
        <v>-34044</v>
      </c>
      <c r="S25" s="39">
        <f t="shared" si="0"/>
        <v>-133376</v>
      </c>
    </row>
    <row r="26" spans="1:19" x14ac:dyDescent="0.25">
      <c r="A26" s="18" t="s">
        <v>111</v>
      </c>
      <c r="B26" s="24">
        <v>3520</v>
      </c>
      <c r="C26" s="23">
        <v>-26387</v>
      </c>
      <c r="D26" s="23">
        <v>-6123</v>
      </c>
      <c r="E26" s="23">
        <v>6965</v>
      </c>
      <c r="F26" s="23">
        <v>3497</v>
      </c>
      <c r="G26" s="23">
        <v>-11945</v>
      </c>
      <c r="H26" s="23">
        <v>35893</v>
      </c>
      <c r="I26" s="23">
        <v>3723</v>
      </c>
      <c r="J26" s="23">
        <v>2916</v>
      </c>
      <c r="K26" s="23">
        <v>17731</v>
      </c>
      <c r="L26" s="23">
        <v>-1775</v>
      </c>
      <c r="M26" s="23">
        <v>2039</v>
      </c>
      <c r="N26" s="23">
        <v>901</v>
      </c>
      <c r="O26" s="23">
        <v>7288</v>
      </c>
      <c r="P26" s="23">
        <v>-11929</v>
      </c>
      <c r="Q26" s="23">
        <v>-14528</v>
      </c>
      <c r="R26" s="23">
        <v>-9791</v>
      </c>
      <c r="S26" s="39">
        <f t="shared" si="0"/>
        <v>1995</v>
      </c>
    </row>
    <row r="27" spans="1:19" x14ac:dyDescent="0.25">
      <c r="A27" s="18" t="s">
        <v>112</v>
      </c>
      <c r="B27" s="24">
        <v>21402</v>
      </c>
      <c r="C27" s="23">
        <v>-30320</v>
      </c>
      <c r="D27" s="23">
        <v>37200</v>
      </c>
      <c r="E27" s="23">
        <v>-84539</v>
      </c>
      <c r="F27" s="23">
        <v>-35959</v>
      </c>
      <c r="G27" s="23">
        <v>26876</v>
      </c>
      <c r="H27" s="23">
        <v>11897</v>
      </c>
      <c r="I27" s="23">
        <v>30998</v>
      </c>
      <c r="J27" s="23">
        <v>-2956</v>
      </c>
      <c r="K27" s="23">
        <v>16666</v>
      </c>
      <c r="L27" s="23">
        <v>40878</v>
      </c>
      <c r="M27" s="23">
        <v>84400</v>
      </c>
      <c r="N27" s="23">
        <v>4228</v>
      </c>
      <c r="O27" s="23">
        <v>-104879</v>
      </c>
      <c r="P27" s="23">
        <v>57422</v>
      </c>
      <c r="Q27" s="23">
        <v>-9216</v>
      </c>
      <c r="R27" s="23">
        <v>40712</v>
      </c>
      <c r="S27" s="39">
        <f t="shared" si="0"/>
        <v>104810</v>
      </c>
    </row>
    <row r="28" spans="1:19" x14ac:dyDescent="0.25">
      <c r="A28" s="18" t="s">
        <v>113</v>
      </c>
      <c r="B28" s="24">
        <v>-95927</v>
      </c>
      <c r="C28" s="23">
        <v>-16717</v>
      </c>
      <c r="D28" s="23">
        <v>-20931</v>
      </c>
      <c r="E28" s="23">
        <v>-14697</v>
      </c>
      <c r="F28" s="23">
        <v>84165</v>
      </c>
      <c r="G28" s="23">
        <v>-78239</v>
      </c>
      <c r="H28" s="23">
        <v>68272</v>
      </c>
      <c r="I28" s="23">
        <v>54950</v>
      </c>
      <c r="J28" s="23">
        <v>97261</v>
      </c>
      <c r="K28" s="23">
        <v>38368</v>
      </c>
      <c r="L28" s="23">
        <v>18476</v>
      </c>
      <c r="M28" s="23">
        <v>77074</v>
      </c>
      <c r="N28" s="23">
        <v>39588</v>
      </c>
      <c r="O28" s="23">
        <v>-9138</v>
      </c>
      <c r="P28" s="23">
        <v>-31602</v>
      </c>
      <c r="Q28" s="23">
        <v>9691</v>
      </c>
      <c r="R28" s="23">
        <v>101555</v>
      </c>
      <c r="S28" s="39">
        <f t="shared" si="0"/>
        <v>322149</v>
      </c>
    </row>
    <row r="29" spans="1:19" x14ac:dyDescent="0.25">
      <c r="A29" s="18" t="s">
        <v>114</v>
      </c>
      <c r="B29" s="24">
        <v>26912</v>
      </c>
      <c r="C29" s="23">
        <v>-93645</v>
      </c>
      <c r="D29" s="23">
        <v>105637</v>
      </c>
      <c r="E29" s="23">
        <v>181940</v>
      </c>
      <c r="F29" s="23">
        <v>-157462</v>
      </c>
      <c r="G29" s="23">
        <v>1908</v>
      </c>
      <c r="H29" s="23">
        <v>176494</v>
      </c>
      <c r="I29" s="23">
        <v>113470</v>
      </c>
      <c r="J29" s="23">
        <v>83590</v>
      </c>
      <c r="K29" s="23">
        <v>78817</v>
      </c>
      <c r="L29" s="23">
        <v>11083</v>
      </c>
      <c r="M29" s="23">
        <v>-51979</v>
      </c>
      <c r="N29" s="23">
        <v>-111444</v>
      </c>
      <c r="O29" s="23">
        <v>-43543</v>
      </c>
      <c r="P29" s="23">
        <v>8871</v>
      </c>
      <c r="Q29" s="23">
        <v>657</v>
      </c>
      <c r="R29" s="23">
        <v>88841</v>
      </c>
      <c r="S29" s="39">
        <f t="shared" si="0"/>
        <v>420147</v>
      </c>
    </row>
    <row r="30" spans="1:19" x14ac:dyDescent="0.25">
      <c r="A30" s="18" t="s">
        <v>115</v>
      </c>
      <c r="B30" s="24">
        <v>0</v>
      </c>
      <c r="C30" s="23">
        <v>0</v>
      </c>
      <c r="D30" s="23">
        <v>0</v>
      </c>
      <c r="E30" s="23">
        <v>0</v>
      </c>
      <c r="F30" s="23">
        <v>0</v>
      </c>
      <c r="G30" s="23">
        <v>0</v>
      </c>
      <c r="H30" s="23">
        <v>0</v>
      </c>
      <c r="I30" s="23">
        <v>-493775</v>
      </c>
      <c r="J30" s="23">
        <v>-410356</v>
      </c>
      <c r="K30" s="23">
        <v>0</v>
      </c>
      <c r="L30" s="23">
        <v>0</v>
      </c>
      <c r="M30" s="23">
        <v>0</v>
      </c>
      <c r="N30" s="23">
        <v>0</v>
      </c>
      <c r="O30" s="23">
        <v>0</v>
      </c>
      <c r="P30" s="23">
        <v>0</v>
      </c>
      <c r="Q30" s="23">
        <v>0</v>
      </c>
      <c r="R30" s="23">
        <v>0</v>
      </c>
      <c r="S30" s="39">
        <f t="shared" si="0"/>
        <v>-904131</v>
      </c>
    </row>
    <row r="31" spans="1:19" x14ac:dyDescent="0.25">
      <c r="A31" s="18" t="s">
        <v>116</v>
      </c>
      <c r="B31" s="24">
        <v>52473</v>
      </c>
      <c r="C31" s="23">
        <v>36921</v>
      </c>
      <c r="D31" s="23">
        <v>-87391</v>
      </c>
      <c r="E31" s="23">
        <v>95645</v>
      </c>
      <c r="F31" s="23">
        <v>-23635</v>
      </c>
      <c r="G31" s="23">
        <v>-52176</v>
      </c>
      <c r="H31" s="23">
        <v>77376</v>
      </c>
      <c r="I31" s="23">
        <v>24175</v>
      </c>
      <c r="J31" s="23">
        <v>-60475</v>
      </c>
      <c r="K31" s="23">
        <v>33499</v>
      </c>
      <c r="L31" s="23">
        <v>-129948</v>
      </c>
      <c r="M31" s="23">
        <v>77418</v>
      </c>
      <c r="N31" s="23">
        <v>-45737</v>
      </c>
      <c r="O31" s="23">
        <v>44578</v>
      </c>
      <c r="P31" s="23">
        <v>-30087</v>
      </c>
      <c r="Q31" s="23">
        <v>-12942</v>
      </c>
      <c r="R31" s="23">
        <v>-67329</v>
      </c>
      <c r="S31" s="39">
        <f t="shared" si="0"/>
        <v>-67635</v>
      </c>
    </row>
    <row r="32" spans="1:19" x14ac:dyDescent="0.25">
      <c r="A32" s="18" t="s">
        <v>117</v>
      </c>
      <c r="B32" s="24">
        <v>-11701</v>
      </c>
      <c r="C32" s="23">
        <v>-6732</v>
      </c>
      <c r="D32" s="23">
        <v>-19851</v>
      </c>
      <c r="E32" s="23">
        <v>-31446</v>
      </c>
      <c r="F32" s="23">
        <v>-1031</v>
      </c>
      <c r="G32" s="23">
        <v>11157</v>
      </c>
      <c r="H32" s="23">
        <v>30517</v>
      </c>
      <c r="I32" s="23">
        <v>33354</v>
      </c>
      <c r="J32" s="23">
        <v>-1583</v>
      </c>
      <c r="K32" s="23">
        <v>66145</v>
      </c>
      <c r="L32" s="23">
        <v>19029</v>
      </c>
      <c r="M32" s="23">
        <v>11061</v>
      </c>
      <c r="N32" s="23">
        <v>4740</v>
      </c>
      <c r="O32" s="23">
        <v>-11362</v>
      </c>
      <c r="P32" s="23">
        <v>8067</v>
      </c>
      <c r="Q32" s="23">
        <v>5764</v>
      </c>
      <c r="R32" s="23">
        <v>4541</v>
      </c>
      <c r="S32" s="39">
        <f t="shared" si="0"/>
        <v>110669</v>
      </c>
    </row>
    <row r="33" spans="1:19" x14ac:dyDescent="0.25">
      <c r="A33" s="27" t="s">
        <v>118</v>
      </c>
      <c r="B33" s="29">
        <f>SUM(B7:B32)</f>
        <v>322195</v>
      </c>
      <c r="C33" s="28">
        <f t="shared" ref="C33:H33" si="1">SUM(C7:C32)</f>
        <v>1930876</v>
      </c>
      <c r="D33" s="28">
        <f t="shared" si="1"/>
        <v>1979028</v>
      </c>
      <c r="E33" s="28">
        <f t="shared" si="1"/>
        <v>2072355</v>
      </c>
      <c r="F33" s="28">
        <f t="shared" si="1"/>
        <v>1771640</v>
      </c>
      <c r="G33" s="28">
        <f t="shared" si="1"/>
        <v>1913166</v>
      </c>
      <c r="H33" s="28">
        <f t="shared" si="1"/>
        <v>1972126</v>
      </c>
      <c r="I33" s="28">
        <f t="shared" ref="I33:S33" si="2">SUM(I7:I32)</f>
        <v>1557200</v>
      </c>
      <c r="J33" s="28">
        <f t="shared" si="2"/>
        <v>1459407</v>
      </c>
      <c r="K33" s="28">
        <f t="shared" si="2"/>
        <v>1773341</v>
      </c>
      <c r="L33" s="28">
        <f t="shared" si="2"/>
        <v>1100848</v>
      </c>
      <c r="M33" s="28">
        <f t="shared" si="2"/>
        <v>1180046</v>
      </c>
      <c r="N33" s="28">
        <f t="shared" si="2"/>
        <v>839683</v>
      </c>
      <c r="O33" s="28">
        <f t="shared" si="2"/>
        <v>666710</v>
      </c>
      <c r="P33" s="28">
        <f t="shared" si="2"/>
        <v>613701</v>
      </c>
      <c r="Q33" s="28">
        <f t="shared" si="2"/>
        <v>581065</v>
      </c>
      <c r="R33" s="28">
        <f t="shared" si="2"/>
        <v>519571</v>
      </c>
      <c r="S33" s="43">
        <f t="shared" si="2"/>
        <v>22252958</v>
      </c>
    </row>
    <row r="34" spans="1:19" x14ac:dyDescent="0.25">
      <c r="A34" s="27" t="s">
        <v>11</v>
      </c>
      <c r="B34" s="24"/>
      <c r="C34" s="48"/>
      <c r="D34" s="48"/>
      <c r="E34" s="48"/>
      <c r="F34" s="48"/>
      <c r="G34" s="48"/>
      <c r="H34" s="48"/>
      <c r="I34" s="23"/>
      <c r="J34" s="23"/>
      <c r="K34" s="23"/>
      <c r="L34" s="23"/>
      <c r="M34" s="23"/>
      <c r="N34" s="23"/>
      <c r="O34" s="23"/>
      <c r="P34" s="23"/>
      <c r="Q34" s="23"/>
      <c r="R34" s="23"/>
      <c r="S34" s="39"/>
    </row>
    <row r="35" spans="1:19" x14ac:dyDescent="0.25">
      <c r="A35" s="18" t="s">
        <v>119</v>
      </c>
      <c r="B35" s="24">
        <v>-123108</v>
      </c>
      <c r="C35" s="23">
        <v>-641465</v>
      </c>
      <c r="D35" s="23">
        <v>-674541</v>
      </c>
      <c r="E35" s="23">
        <v>-766546</v>
      </c>
      <c r="F35" s="23">
        <v>-987138</v>
      </c>
      <c r="G35" s="23">
        <v>-905250</v>
      </c>
      <c r="H35" s="23">
        <v>-829095</v>
      </c>
      <c r="I35" s="23">
        <v>-707998</v>
      </c>
      <c r="J35" s="23">
        <v>-641330</v>
      </c>
      <c r="K35" s="23">
        <v>-617597</v>
      </c>
      <c r="L35" s="23">
        <v>-550146</v>
      </c>
      <c r="M35" s="23">
        <v>-400156</v>
      </c>
      <c r="N35" s="23">
        <v>-273602</v>
      </c>
      <c r="O35" s="23">
        <v>-274605</v>
      </c>
      <c r="P35" s="23">
        <v>-317962</v>
      </c>
      <c r="Q35" s="23">
        <v>-272212</v>
      </c>
      <c r="R35" s="23">
        <v>-262708</v>
      </c>
      <c r="S35" s="39">
        <f t="shared" ref="S35:S46" si="3">SUM(B35:R35)</f>
        <v>-9245459</v>
      </c>
    </row>
    <row r="36" spans="1:19" x14ac:dyDescent="0.25">
      <c r="A36" s="18" t="s">
        <v>120</v>
      </c>
      <c r="B36" s="24">
        <v>-5166</v>
      </c>
      <c r="C36" s="23">
        <v>-187050</v>
      </c>
      <c r="D36" s="23">
        <v>-182013</v>
      </c>
      <c r="E36" s="23">
        <v>-100861</v>
      </c>
      <c r="F36" s="23">
        <v>-183156</v>
      </c>
      <c r="G36" s="23">
        <v>-803879</v>
      </c>
      <c r="H36" s="23">
        <v>-563856</v>
      </c>
      <c r="I36" s="23">
        <v>-96469</v>
      </c>
      <c r="J36" s="23">
        <v>-272094</v>
      </c>
      <c r="K36" s="23">
        <v>-310394</v>
      </c>
      <c r="L36" s="23">
        <v>-4294077</v>
      </c>
      <c r="M36" s="23">
        <v>-1077442</v>
      </c>
      <c r="N36" s="23">
        <v>-188502</v>
      </c>
      <c r="O36" s="23">
        <v>-87617</v>
      </c>
      <c r="P36" s="23">
        <v>-101959</v>
      </c>
      <c r="Q36" s="23">
        <v>-127094</v>
      </c>
      <c r="R36" s="23">
        <v>-86504</v>
      </c>
      <c r="S36" s="39">
        <f t="shared" si="3"/>
        <v>-8668133</v>
      </c>
    </row>
    <row r="37" spans="1:19" x14ac:dyDescent="0.25">
      <c r="A37" s="18" t="s">
        <v>121</v>
      </c>
      <c r="B37" s="24">
        <v>11353</v>
      </c>
      <c r="C37" s="23">
        <v>61464</v>
      </c>
      <c r="D37" s="23">
        <v>50139</v>
      </c>
      <c r="E37" s="23">
        <v>3877392</v>
      </c>
      <c r="F37" s="23">
        <v>150205</v>
      </c>
      <c r="G37" s="23">
        <v>92336</v>
      </c>
      <c r="H37" s="23">
        <v>64725</v>
      </c>
      <c r="I37" s="23">
        <v>19715</v>
      </c>
      <c r="J37" s="23">
        <v>8791</v>
      </c>
      <c r="K37" s="23">
        <v>62258</v>
      </c>
      <c r="L37" s="23">
        <v>3559</v>
      </c>
      <c r="M37" s="23">
        <v>75183</v>
      </c>
      <c r="N37" s="23">
        <v>22727</v>
      </c>
      <c r="O37" s="23">
        <v>7697</v>
      </c>
      <c r="P37" s="23">
        <v>530</v>
      </c>
      <c r="Q37" s="23">
        <v>12289</v>
      </c>
      <c r="R37" s="23">
        <v>22179</v>
      </c>
      <c r="S37" s="39">
        <f t="shared" si="3"/>
        <v>4542542</v>
      </c>
    </row>
    <row r="38" spans="1:19" x14ac:dyDescent="0.25">
      <c r="A38" s="18" t="s">
        <v>122</v>
      </c>
      <c r="B38" s="24">
        <v>-2726</v>
      </c>
      <c r="C38" s="23">
        <v>-2987</v>
      </c>
      <c r="D38" s="23">
        <v>-3757</v>
      </c>
      <c r="E38" s="23">
        <v>-5458</v>
      </c>
      <c r="F38" s="23">
        <v>-8448</v>
      </c>
      <c r="G38" s="23">
        <v>-13117</v>
      </c>
      <c r="H38" s="23">
        <v>-13539</v>
      </c>
      <c r="I38" s="23">
        <v>-8783</v>
      </c>
      <c r="J38" s="23">
        <v>-8440</v>
      </c>
      <c r="K38" s="23">
        <v>-12445</v>
      </c>
      <c r="L38" s="23">
        <v>-3935</v>
      </c>
      <c r="M38" s="23">
        <v>-5971</v>
      </c>
      <c r="N38" s="23">
        <v>-1125</v>
      </c>
      <c r="O38" s="23">
        <v>-2062</v>
      </c>
      <c r="P38" s="23">
        <v>-2009</v>
      </c>
      <c r="Q38" s="23">
        <v>-52085</v>
      </c>
      <c r="R38" s="23">
        <v>-3726</v>
      </c>
      <c r="S38" s="39">
        <f t="shared" si="3"/>
        <v>-150613</v>
      </c>
    </row>
    <row r="39" spans="1:19" x14ac:dyDescent="0.25">
      <c r="A39" s="18" t="s">
        <v>123</v>
      </c>
      <c r="B39" s="24">
        <v>-5070</v>
      </c>
      <c r="C39" s="23">
        <v>-30849</v>
      </c>
      <c r="D39" s="23">
        <v>-150701</v>
      </c>
      <c r="E39" s="23">
        <v>-101462</v>
      </c>
      <c r="F39" s="23">
        <v>-5963</v>
      </c>
      <c r="G39" s="23">
        <v>-228990</v>
      </c>
      <c r="H39" s="23">
        <v>-1133192</v>
      </c>
      <c r="I39" s="23">
        <v>-1709883</v>
      </c>
      <c r="J39" s="23">
        <v>-472628</v>
      </c>
      <c r="K39" s="23">
        <v>-1039</v>
      </c>
      <c r="L39" s="23">
        <v>-7418</v>
      </c>
      <c r="M39" s="23">
        <v>-37628</v>
      </c>
      <c r="N39" s="23">
        <v>-56615</v>
      </c>
      <c r="O39" s="23">
        <v>-22664</v>
      </c>
      <c r="P39" s="23">
        <v>-21048</v>
      </c>
      <c r="Q39" s="23">
        <v>-23061</v>
      </c>
      <c r="R39" s="23">
        <v>0</v>
      </c>
      <c r="S39" s="39">
        <f t="shared" si="3"/>
        <v>-4008211</v>
      </c>
    </row>
    <row r="40" spans="1:19" x14ac:dyDescent="0.25">
      <c r="A40" s="18" t="s">
        <v>124</v>
      </c>
      <c r="B40" s="24">
        <v>3773</v>
      </c>
      <c r="C40" s="23">
        <v>12030</v>
      </c>
      <c r="D40" s="23">
        <v>3491</v>
      </c>
      <c r="E40" s="23">
        <v>3676</v>
      </c>
      <c r="F40" s="23">
        <v>9526</v>
      </c>
      <c r="G40" s="23">
        <v>6408</v>
      </c>
      <c r="H40" s="23">
        <v>18963</v>
      </c>
      <c r="I40" s="23">
        <v>2058</v>
      </c>
      <c r="J40" s="23">
        <v>2475</v>
      </c>
      <c r="K40" s="23">
        <v>4158</v>
      </c>
      <c r="L40" s="23">
        <v>7211</v>
      </c>
      <c r="M40" s="23">
        <v>1149</v>
      </c>
      <c r="N40" s="23">
        <v>900</v>
      </c>
      <c r="O40" s="23">
        <v>16693</v>
      </c>
      <c r="P40" s="23">
        <v>21291</v>
      </c>
      <c r="Q40" s="23">
        <v>32274</v>
      </c>
      <c r="R40" s="23">
        <v>3030</v>
      </c>
      <c r="S40" s="39">
        <f t="shared" si="3"/>
        <v>149106</v>
      </c>
    </row>
    <row r="41" spans="1:19" x14ac:dyDescent="0.25">
      <c r="A41" s="18" t="s">
        <v>125</v>
      </c>
      <c r="B41" s="24">
        <v>5070</v>
      </c>
      <c r="C41" s="23">
        <v>15849</v>
      </c>
      <c r="D41" s="23">
        <v>151213</v>
      </c>
      <c r="E41" s="23">
        <v>95376</v>
      </c>
      <c r="F41" s="23">
        <v>34862</v>
      </c>
      <c r="G41" s="23">
        <v>492470</v>
      </c>
      <c r="H41" s="23">
        <v>1240502</v>
      </c>
      <c r="I41" s="23">
        <v>1637358</v>
      </c>
      <c r="J41" s="23">
        <v>141072</v>
      </c>
      <c r="K41" s="23">
        <v>1376</v>
      </c>
      <c r="L41" s="23">
        <v>14530</v>
      </c>
      <c r="M41" s="23">
        <v>47695</v>
      </c>
      <c r="N41" s="23">
        <v>59932</v>
      </c>
      <c r="O41" s="23">
        <v>16380</v>
      </c>
      <c r="P41" s="23">
        <v>21355</v>
      </c>
      <c r="Q41" s="23">
        <v>4795</v>
      </c>
      <c r="R41" s="23">
        <v>0</v>
      </c>
      <c r="S41" s="39">
        <f t="shared" si="3"/>
        <v>3979835</v>
      </c>
    </row>
    <row r="42" spans="1:19" x14ac:dyDescent="0.25">
      <c r="A42" s="18" t="s">
        <v>126</v>
      </c>
      <c r="B42" s="24">
        <v>0</v>
      </c>
      <c r="C42" s="23">
        <v>0</v>
      </c>
      <c r="D42" s="23">
        <v>0</v>
      </c>
      <c r="E42" s="23">
        <v>0</v>
      </c>
      <c r="F42" s="23">
        <v>0</v>
      </c>
      <c r="G42" s="23">
        <v>0</v>
      </c>
      <c r="H42" s="23">
        <v>0</v>
      </c>
      <c r="I42" s="23">
        <v>0</v>
      </c>
      <c r="J42" s="23">
        <v>-1018</v>
      </c>
      <c r="K42" s="23">
        <v>-2391</v>
      </c>
      <c r="L42" s="23">
        <v>0</v>
      </c>
      <c r="M42" s="23">
        <v>0</v>
      </c>
      <c r="N42" s="23">
        <v>0</v>
      </c>
      <c r="O42" s="23">
        <v>0</v>
      </c>
      <c r="P42" s="23">
        <v>-65</v>
      </c>
      <c r="Q42" s="23">
        <v>-2291</v>
      </c>
      <c r="R42" s="23">
        <v>0</v>
      </c>
      <c r="S42" s="39">
        <f t="shared" si="3"/>
        <v>-5765</v>
      </c>
    </row>
    <row r="43" spans="1:19" x14ac:dyDescent="0.25">
      <c r="A43" s="18" t="s">
        <v>127</v>
      </c>
      <c r="B43" s="24">
        <v>-2962</v>
      </c>
      <c r="C43" s="23">
        <v>-13924</v>
      </c>
      <c r="D43" s="23">
        <v>-22341</v>
      </c>
      <c r="E43" s="23">
        <v>-9366</v>
      </c>
      <c r="F43" s="23">
        <v>-19177</v>
      </c>
      <c r="G43" s="23">
        <v>-4816</v>
      </c>
      <c r="H43" s="23">
        <v>-27096</v>
      </c>
      <c r="I43" s="23">
        <v>-17911</v>
      </c>
      <c r="J43" s="23">
        <v>-35382</v>
      </c>
      <c r="K43" s="23">
        <v>-1305</v>
      </c>
      <c r="L43" s="23">
        <v>-2182</v>
      </c>
      <c r="M43" s="23">
        <v>-2398</v>
      </c>
      <c r="N43" s="23">
        <v>-709</v>
      </c>
      <c r="O43" s="23">
        <v>-2429</v>
      </c>
      <c r="P43" s="23">
        <v>0</v>
      </c>
      <c r="Q43" s="23">
        <v>-17550</v>
      </c>
      <c r="R43" s="23">
        <v>0</v>
      </c>
      <c r="S43" s="39">
        <f t="shared" si="3"/>
        <v>-179548</v>
      </c>
    </row>
    <row r="44" spans="1:19" x14ac:dyDescent="0.25">
      <c r="A44" s="18" t="s">
        <v>238</v>
      </c>
      <c r="B44" s="24">
        <v>0</v>
      </c>
      <c r="C44" s="23">
        <v>0</v>
      </c>
      <c r="D44" s="23">
        <v>0</v>
      </c>
      <c r="E44" s="23">
        <v>0</v>
      </c>
      <c r="F44" s="23">
        <v>0</v>
      </c>
      <c r="G44" s="23">
        <v>0</v>
      </c>
      <c r="H44" s="23">
        <v>40920</v>
      </c>
      <c r="I44" s="23">
        <v>0</v>
      </c>
      <c r="J44" s="23">
        <v>0</v>
      </c>
      <c r="K44" s="23">
        <v>0</v>
      </c>
      <c r="L44" s="23">
        <v>0</v>
      </c>
      <c r="M44" s="23">
        <v>0</v>
      </c>
      <c r="N44" s="23">
        <v>0</v>
      </c>
      <c r="O44" s="23">
        <v>0</v>
      </c>
      <c r="P44" s="23">
        <v>0</v>
      </c>
      <c r="Q44" s="23">
        <v>0</v>
      </c>
      <c r="R44" s="23">
        <v>0</v>
      </c>
      <c r="S44" s="39">
        <f t="shared" si="3"/>
        <v>40920</v>
      </c>
    </row>
    <row r="45" spans="1:19" x14ac:dyDescent="0.25">
      <c r="A45" s="18" t="s">
        <v>128</v>
      </c>
      <c r="B45" s="24">
        <v>470</v>
      </c>
      <c r="C45" s="23">
        <v>2944</v>
      </c>
      <c r="D45" s="23">
        <v>3139</v>
      </c>
      <c r="E45" s="23">
        <v>2589</v>
      </c>
      <c r="F45" s="23">
        <v>3646</v>
      </c>
      <c r="G45" s="23">
        <v>106</v>
      </c>
      <c r="H45" s="23">
        <v>0</v>
      </c>
      <c r="I45" s="23">
        <v>129</v>
      </c>
      <c r="J45" s="23">
        <v>825</v>
      </c>
      <c r="K45" s="23">
        <v>497</v>
      </c>
      <c r="L45" s="23">
        <v>8</v>
      </c>
      <c r="M45" s="23">
        <v>340</v>
      </c>
      <c r="N45" s="23">
        <v>361</v>
      </c>
      <c r="O45" s="23">
        <v>2547</v>
      </c>
      <c r="P45" s="23">
        <v>908</v>
      </c>
      <c r="Q45" s="23">
        <v>1134</v>
      </c>
      <c r="R45" s="23">
        <v>0</v>
      </c>
      <c r="S45" s="39">
        <f t="shared" si="3"/>
        <v>19643</v>
      </c>
    </row>
    <row r="46" spans="1:19" x14ac:dyDescent="0.25">
      <c r="A46" s="18" t="s">
        <v>146</v>
      </c>
      <c r="B46" s="24">
        <v>0</v>
      </c>
      <c r="C46" s="23">
        <v>-745</v>
      </c>
      <c r="D46" s="23">
        <v>0</v>
      </c>
      <c r="E46" s="23">
        <v>0</v>
      </c>
      <c r="F46" s="23">
        <v>0</v>
      </c>
      <c r="G46" s="23">
        <v>0</v>
      </c>
      <c r="H46" s="23">
        <v>0</v>
      </c>
      <c r="I46" s="23">
        <v>0</v>
      </c>
      <c r="J46" s="23">
        <v>0</v>
      </c>
      <c r="K46" s="23">
        <v>0</v>
      </c>
      <c r="L46" s="23">
        <v>0</v>
      </c>
      <c r="M46" s="23">
        <v>0</v>
      </c>
      <c r="N46" s="23">
        <v>0</v>
      </c>
      <c r="O46" s="23">
        <v>0</v>
      </c>
      <c r="P46" s="23">
        <v>1220</v>
      </c>
      <c r="Q46" s="23">
        <v>-2942</v>
      </c>
      <c r="R46" s="23">
        <f>21263-5597</f>
        <v>15666</v>
      </c>
      <c r="S46" s="39">
        <f t="shared" si="3"/>
        <v>13199</v>
      </c>
    </row>
    <row r="47" spans="1:19" x14ac:dyDescent="0.25">
      <c r="A47" s="27" t="s">
        <v>129</v>
      </c>
      <c r="B47" s="29">
        <f t="shared" ref="B47:S47" si="4">SUM(B35:B46)</f>
        <v>-118366</v>
      </c>
      <c r="C47" s="28">
        <f t="shared" ref="C47:H47" si="5">SUM(C35:C46)</f>
        <v>-784733</v>
      </c>
      <c r="D47" s="28">
        <f t="shared" si="5"/>
        <v>-825371</v>
      </c>
      <c r="E47" s="28">
        <f t="shared" si="5"/>
        <v>2995340</v>
      </c>
      <c r="F47" s="28">
        <f t="shared" si="5"/>
        <v>-1005643</v>
      </c>
      <c r="G47" s="28">
        <f t="shared" si="5"/>
        <v>-1364732</v>
      </c>
      <c r="H47" s="28">
        <f t="shared" si="5"/>
        <v>-1201668</v>
      </c>
      <c r="I47" s="28">
        <f t="shared" si="4"/>
        <v>-881784</v>
      </c>
      <c r="J47" s="28">
        <f t="shared" si="4"/>
        <v>-1277729</v>
      </c>
      <c r="K47" s="28">
        <f t="shared" si="4"/>
        <v>-876882</v>
      </c>
      <c r="L47" s="28">
        <f t="shared" si="4"/>
        <v>-4832450</v>
      </c>
      <c r="M47" s="28">
        <f t="shared" si="4"/>
        <v>-1399228</v>
      </c>
      <c r="N47" s="28">
        <f t="shared" si="4"/>
        <v>-436633</v>
      </c>
      <c r="O47" s="28">
        <f t="shared" si="4"/>
        <v>-346060</v>
      </c>
      <c r="P47" s="28">
        <f t="shared" si="4"/>
        <v>-397739</v>
      </c>
      <c r="Q47" s="28">
        <f t="shared" si="4"/>
        <v>-446743</v>
      </c>
      <c r="R47" s="28">
        <f t="shared" si="4"/>
        <v>-312063</v>
      </c>
      <c r="S47" s="43">
        <f t="shared" si="4"/>
        <v>-13512484</v>
      </c>
    </row>
    <row r="48" spans="1:19" x14ac:dyDescent="0.25">
      <c r="A48" s="27" t="s">
        <v>12</v>
      </c>
      <c r="B48" s="24"/>
      <c r="C48" s="48"/>
      <c r="D48" s="48"/>
      <c r="E48" s="48"/>
      <c r="F48" s="48"/>
      <c r="G48" s="48"/>
      <c r="H48" s="48"/>
      <c r="I48" s="23"/>
      <c r="J48" s="23"/>
      <c r="K48" s="23"/>
      <c r="L48" s="23"/>
      <c r="M48" s="23"/>
      <c r="N48" s="23"/>
      <c r="O48" s="23"/>
      <c r="P48" s="23"/>
      <c r="Q48" s="23"/>
      <c r="R48" s="23"/>
      <c r="S48" s="39"/>
    </row>
    <row r="49" spans="1:19" x14ac:dyDescent="0.25">
      <c r="A49" s="18" t="s">
        <v>130</v>
      </c>
      <c r="B49" s="24">
        <v>354285</v>
      </c>
      <c r="C49" s="23">
        <v>1615370</v>
      </c>
      <c r="D49" s="23">
        <v>4046775</v>
      </c>
      <c r="E49" s="23">
        <v>38525850</v>
      </c>
      <c r="F49" s="23">
        <v>59934750</v>
      </c>
      <c r="G49" s="23">
        <v>50991960</v>
      </c>
      <c r="H49" s="23">
        <v>51991490</v>
      </c>
      <c r="I49" s="23">
        <v>54541988</v>
      </c>
      <c r="J49" s="23">
        <v>60038508</v>
      </c>
      <c r="K49" s="23">
        <v>66286097</v>
      </c>
      <c r="L49" s="23">
        <v>43248175</v>
      </c>
      <c r="M49" s="23">
        <v>36395105</v>
      </c>
      <c r="N49" s="23">
        <v>24809258</v>
      </c>
      <c r="O49" s="23">
        <v>18767592</v>
      </c>
      <c r="P49" s="23">
        <v>17089018</v>
      </c>
      <c r="Q49" s="23">
        <v>13113640</v>
      </c>
      <c r="R49" s="23">
        <v>6354784</v>
      </c>
      <c r="S49" s="39">
        <f t="shared" ref="S49:S60" si="6">SUM(B49:R49)</f>
        <v>548104645</v>
      </c>
    </row>
    <row r="50" spans="1:19" x14ac:dyDescent="0.25">
      <c r="A50" s="18" t="s">
        <v>131</v>
      </c>
      <c r="B50" s="24">
        <v>-398990</v>
      </c>
      <c r="C50" s="23">
        <v>-861115</v>
      </c>
      <c r="D50" s="23">
        <v>-4110304</v>
      </c>
      <c r="E50" s="23">
        <v>-40520722</v>
      </c>
      <c r="F50" s="23">
        <v>-59239973</v>
      </c>
      <c r="G50" s="23">
        <v>-50837112</v>
      </c>
      <c r="H50" s="23">
        <v>-52115932</v>
      </c>
      <c r="I50" s="23">
        <v>-53922290</v>
      </c>
      <c r="J50" s="23">
        <v>-60046487</v>
      </c>
      <c r="K50" s="23">
        <v>-66723385</v>
      </c>
      <c r="L50" s="23">
        <v>-39343268</v>
      </c>
      <c r="M50" s="23">
        <v>-36267445</v>
      </c>
      <c r="N50" s="23">
        <v>-24134502</v>
      </c>
      <c r="O50" s="23">
        <v>-18828824</v>
      </c>
      <c r="P50" s="23">
        <v>-17102569</v>
      </c>
      <c r="Q50" s="23">
        <v>-13160942</v>
      </c>
      <c r="R50" s="23">
        <v>-6761743</v>
      </c>
      <c r="S50" s="39">
        <f t="shared" si="6"/>
        <v>-544375603</v>
      </c>
    </row>
    <row r="51" spans="1:19" x14ac:dyDescent="0.25">
      <c r="A51" s="18" t="s">
        <v>132</v>
      </c>
      <c r="B51" s="24">
        <v>0</v>
      </c>
      <c r="C51" s="23">
        <v>-9091</v>
      </c>
      <c r="D51" s="23">
        <v>-105848</v>
      </c>
      <c r="E51" s="23">
        <v>-85319</v>
      </c>
      <c r="F51" s="23">
        <v>0</v>
      </c>
      <c r="G51" s="23">
        <v>0</v>
      </c>
      <c r="H51" s="23">
        <v>-188</v>
      </c>
      <c r="I51" s="23">
        <v>-76672</v>
      </c>
      <c r="J51" s="23">
        <v>-122988</v>
      </c>
      <c r="K51" s="23">
        <v>-719</v>
      </c>
      <c r="L51" s="23">
        <v>0</v>
      </c>
      <c r="M51" s="23">
        <v>0</v>
      </c>
      <c r="N51" s="23">
        <v>-113810</v>
      </c>
      <c r="O51" s="23">
        <v>-42</v>
      </c>
      <c r="P51" s="23">
        <v>-130</v>
      </c>
      <c r="Q51" s="23">
        <v>-4511</v>
      </c>
      <c r="R51" s="23">
        <v>-2</v>
      </c>
      <c r="S51" s="39">
        <f t="shared" si="6"/>
        <v>-519320</v>
      </c>
    </row>
    <row r="52" spans="1:19" x14ac:dyDescent="0.25">
      <c r="A52" s="18" t="s">
        <v>133</v>
      </c>
      <c r="B52" s="24">
        <v>-236232</v>
      </c>
      <c r="C52" s="23">
        <v>-1538626</v>
      </c>
      <c r="D52" s="23">
        <v>-1458442</v>
      </c>
      <c r="E52" s="23">
        <v>-2383816</v>
      </c>
      <c r="F52" s="23">
        <v>-1161511</v>
      </c>
      <c r="G52" s="23">
        <v>-802949</v>
      </c>
      <c r="H52" s="23">
        <v>-1097822</v>
      </c>
      <c r="I52" s="23">
        <v>-549935</v>
      </c>
      <c r="J52" s="23">
        <v>0</v>
      </c>
      <c r="K52" s="23">
        <v>0</v>
      </c>
      <c r="L52" s="23">
        <v>0</v>
      </c>
      <c r="M52" s="23">
        <v>-323348</v>
      </c>
      <c r="N52" s="23">
        <v>-618496</v>
      </c>
      <c r="O52" s="23">
        <v>-153495</v>
      </c>
      <c r="P52" s="23">
        <v>-232715</v>
      </c>
      <c r="Q52" s="23">
        <v>-6350</v>
      </c>
      <c r="R52" s="23">
        <v>0</v>
      </c>
      <c r="S52" s="39">
        <f t="shared" si="6"/>
        <v>-10563737</v>
      </c>
    </row>
    <row r="53" spans="1:19" x14ac:dyDescent="0.25">
      <c r="A53" s="18" t="s">
        <v>134</v>
      </c>
      <c r="B53" s="24">
        <v>-65452</v>
      </c>
      <c r="C53" s="23">
        <v>-244033</v>
      </c>
      <c r="D53" s="23">
        <v>-253118</v>
      </c>
      <c r="E53" s="23">
        <v>-233123</v>
      </c>
      <c r="F53" s="23">
        <v>-196441</v>
      </c>
      <c r="G53" s="23">
        <v>-211467</v>
      </c>
      <c r="H53" s="23">
        <v>-192401</v>
      </c>
      <c r="I53" s="23">
        <v>-174635</v>
      </c>
      <c r="J53" s="23">
        <v>-149339</v>
      </c>
      <c r="K53" s="23">
        <v>-139326</v>
      </c>
      <c r="L53" s="23">
        <v>-113504</v>
      </c>
      <c r="M53" s="23">
        <v>-100653</v>
      </c>
      <c r="N53" s="23">
        <v>-83591</v>
      </c>
      <c r="O53" s="23">
        <v>-67748</v>
      </c>
      <c r="P53" s="23">
        <v>-59357</v>
      </c>
      <c r="Q53" s="23">
        <v>-48029</v>
      </c>
      <c r="R53" s="23">
        <v>0</v>
      </c>
      <c r="S53" s="39">
        <f t="shared" si="6"/>
        <v>-2332217</v>
      </c>
    </row>
    <row r="54" spans="1:19" x14ac:dyDescent="0.25">
      <c r="A54" s="18" t="s">
        <v>135</v>
      </c>
      <c r="B54" s="24">
        <v>-501</v>
      </c>
      <c r="C54" s="23">
        <v>-60001</v>
      </c>
      <c r="D54" s="23">
        <v>-975</v>
      </c>
      <c r="E54" s="23">
        <v>11382</v>
      </c>
      <c r="F54" s="23">
        <v>13577</v>
      </c>
      <c r="G54" s="23">
        <v>21252</v>
      </c>
      <c r="H54" s="23">
        <v>23543</v>
      </c>
      <c r="I54" s="23">
        <v>26155</v>
      </c>
      <c r="J54" s="23">
        <v>19500</v>
      </c>
      <c r="K54" s="23">
        <v>16423</v>
      </c>
      <c r="L54" s="23">
        <v>6647</v>
      </c>
      <c r="M54" s="23">
        <v>11316</v>
      </c>
      <c r="N54" s="23">
        <v>53760</v>
      </c>
      <c r="O54" s="23">
        <v>67908</v>
      </c>
      <c r="P54" s="23">
        <v>40247</v>
      </c>
      <c r="Q54" s="23">
        <v>62902</v>
      </c>
      <c r="R54" s="23">
        <v>40593</v>
      </c>
      <c r="S54" s="39">
        <f t="shared" si="6"/>
        <v>353728</v>
      </c>
    </row>
    <row r="55" spans="1:19" x14ac:dyDescent="0.25">
      <c r="A55" s="18" t="s">
        <v>136</v>
      </c>
      <c r="B55" s="24">
        <v>0</v>
      </c>
      <c r="C55" s="23">
        <v>0</v>
      </c>
      <c r="D55" s="23">
        <v>0</v>
      </c>
      <c r="E55" s="23">
        <v>0</v>
      </c>
      <c r="F55" s="23">
        <v>0</v>
      </c>
      <c r="G55" s="23">
        <v>0</v>
      </c>
      <c r="H55" s="23">
        <v>13251</v>
      </c>
      <c r="I55" s="23">
        <v>28157</v>
      </c>
      <c r="J55" s="23">
        <v>45271</v>
      </c>
      <c r="K55" s="23">
        <v>36197</v>
      </c>
      <c r="L55" s="23">
        <v>62036</v>
      </c>
      <c r="M55" s="23">
        <v>20834</v>
      </c>
      <c r="N55" s="23">
        <v>6283</v>
      </c>
      <c r="O55" s="23">
        <v>6950</v>
      </c>
      <c r="P55" s="23">
        <v>8013</v>
      </c>
      <c r="Q55" s="23">
        <v>25541</v>
      </c>
      <c r="R55" s="23">
        <v>37251</v>
      </c>
      <c r="S55" s="39">
        <f t="shared" si="6"/>
        <v>289784</v>
      </c>
    </row>
    <row r="56" spans="1:19" x14ac:dyDescent="0.25">
      <c r="A56" s="18" t="s">
        <v>137</v>
      </c>
      <c r="B56" s="24">
        <v>4929</v>
      </c>
      <c r="C56" s="23">
        <v>31754</v>
      </c>
      <c r="D56" s="23">
        <v>42966</v>
      </c>
      <c r="E56" s="23">
        <v>57317</v>
      </c>
      <c r="F56" s="23">
        <v>52311</v>
      </c>
      <c r="G56" s="23">
        <v>74552</v>
      </c>
      <c r="H56" s="23">
        <v>47590</v>
      </c>
      <c r="I56" s="23">
        <v>54644</v>
      </c>
      <c r="J56" s="23">
        <v>64655</v>
      </c>
      <c r="K56" s="23">
        <v>36996</v>
      </c>
      <c r="L56" s="23">
        <v>37395</v>
      </c>
      <c r="M56" s="23">
        <v>21010</v>
      </c>
      <c r="N56" s="23">
        <v>9510</v>
      </c>
      <c r="O56" s="23">
        <v>13071</v>
      </c>
      <c r="P56" s="23">
        <v>19074</v>
      </c>
      <c r="Q56" s="23">
        <v>14735</v>
      </c>
      <c r="R56" s="23">
        <v>0</v>
      </c>
      <c r="S56" s="39">
        <f t="shared" si="6"/>
        <v>582509</v>
      </c>
    </row>
    <row r="57" spans="1:19" x14ac:dyDescent="0.25">
      <c r="A57" s="18" t="s">
        <v>138</v>
      </c>
      <c r="B57" s="24">
        <v>3673</v>
      </c>
      <c r="C57" s="23">
        <v>2880</v>
      </c>
      <c r="D57" s="23">
        <v>0</v>
      </c>
      <c r="E57" s="23">
        <v>0</v>
      </c>
      <c r="F57" s="23">
        <v>15</v>
      </c>
      <c r="G57" s="23">
        <v>2864</v>
      </c>
      <c r="H57" s="23">
        <v>0</v>
      </c>
      <c r="I57" s="23">
        <v>0</v>
      </c>
      <c r="J57" s="23">
        <v>3777</v>
      </c>
      <c r="K57" s="23">
        <v>8295</v>
      </c>
      <c r="L57" s="23">
        <v>1664</v>
      </c>
      <c r="M57" s="23">
        <v>9687</v>
      </c>
      <c r="N57" s="23">
        <v>3410</v>
      </c>
      <c r="O57" s="23">
        <v>9375</v>
      </c>
      <c r="P57" s="23">
        <v>10701</v>
      </c>
      <c r="Q57" s="23">
        <v>5536</v>
      </c>
      <c r="R57" s="23">
        <v>0</v>
      </c>
      <c r="S57" s="39">
        <f t="shared" si="6"/>
        <v>61877</v>
      </c>
    </row>
    <row r="58" spans="1:19" x14ac:dyDescent="0.25">
      <c r="A58" s="18" t="s">
        <v>139</v>
      </c>
      <c r="B58" s="24">
        <v>-3283</v>
      </c>
      <c r="C58" s="23">
        <v>-20104</v>
      </c>
      <c r="D58" s="23">
        <v>-7831</v>
      </c>
      <c r="E58" s="23">
        <v>-68019</v>
      </c>
      <c r="F58" s="23">
        <v>-28082</v>
      </c>
      <c r="G58" s="23">
        <v>-5357</v>
      </c>
      <c r="H58" s="23">
        <v>-21512</v>
      </c>
      <c r="I58" s="23">
        <v>-66382</v>
      </c>
      <c r="J58" s="23">
        <v>-17876</v>
      </c>
      <c r="K58" s="23">
        <v>-3569</v>
      </c>
      <c r="L58" s="23">
        <v>-26761</v>
      </c>
      <c r="M58" s="23">
        <v>-13689</v>
      </c>
      <c r="N58" s="23">
        <v>-14214</v>
      </c>
      <c r="O58" s="23">
        <v>-6859</v>
      </c>
      <c r="P58" s="23">
        <v>-24409</v>
      </c>
      <c r="Q58" s="23">
        <v>0</v>
      </c>
      <c r="R58" s="23">
        <v>0</v>
      </c>
      <c r="S58" s="39">
        <f t="shared" si="6"/>
        <v>-327947</v>
      </c>
    </row>
    <row r="59" spans="1:19" x14ac:dyDescent="0.25">
      <c r="A59" s="27" t="s">
        <v>148</v>
      </c>
      <c r="B59" s="29">
        <f>SUM(B49:B58)</f>
        <v>-341571</v>
      </c>
      <c r="C59" s="28">
        <f t="shared" ref="C59:H59" si="7">SUM(C49:C58)</f>
        <v>-1082966</v>
      </c>
      <c r="D59" s="28">
        <f t="shared" si="7"/>
        <v>-1846777</v>
      </c>
      <c r="E59" s="28">
        <f t="shared" si="7"/>
        <v>-4696450</v>
      </c>
      <c r="F59" s="28">
        <f t="shared" si="7"/>
        <v>-625354</v>
      </c>
      <c r="G59" s="28">
        <f t="shared" si="7"/>
        <v>-766257</v>
      </c>
      <c r="H59" s="28">
        <f t="shared" si="7"/>
        <v>-1351981</v>
      </c>
      <c r="I59" s="28">
        <f t="shared" ref="I59:R59" si="8">SUM(I49:I58)</f>
        <v>-138970</v>
      </c>
      <c r="J59" s="28">
        <f t="shared" si="8"/>
        <v>-164979</v>
      </c>
      <c r="K59" s="28">
        <f t="shared" si="8"/>
        <v>-482991</v>
      </c>
      <c r="L59" s="28">
        <f t="shared" si="8"/>
        <v>3872384</v>
      </c>
      <c r="M59" s="28">
        <f t="shared" si="8"/>
        <v>-247183</v>
      </c>
      <c r="N59" s="28">
        <f t="shared" si="8"/>
        <v>-82392</v>
      </c>
      <c r="O59" s="28">
        <f t="shared" si="8"/>
        <v>-192072</v>
      </c>
      <c r="P59" s="28">
        <f t="shared" si="8"/>
        <v>-252127</v>
      </c>
      <c r="Q59" s="28">
        <f t="shared" si="8"/>
        <v>2522</v>
      </c>
      <c r="R59" s="28">
        <f t="shared" si="8"/>
        <v>-329117</v>
      </c>
      <c r="S59" s="43">
        <f>SUM(S49:S58)</f>
        <v>-8726281</v>
      </c>
    </row>
    <row r="60" spans="1:19" x14ac:dyDescent="0.25">
      <c r="A60" s="18" t="s">
        <v>140</v>
      </c>
      <c r="B60" s="24">
        <v>3363</v>
      </c>
      <c r="C60" s="23">
        <v>-10007</v>
      </c>
      <c r="D60" s="23">
        <v>-13808</v>
      </c>
      <c r="E60" s="23">
        <v>-1760</v>
      </c>
      <c r="F60" s="23">
        <v>-3350</v>
      </c>
      <c r="G60" s="23">
        <v>254</v>
      </c>
      <c r="H60" s="23">
        <v>4276</v>
      </c>
      <c r="I60" s="23">
        <v>-2571</v>
      </c>
      <c r="J60" s="23">
        <v>2293</v>
      </c>
      <c r="K60" s="23">
        <v>-967</v>
      </c>
      <c r="L60" s="23">
        <v>-786</v>
      </c>
      <c r="M60" s="23">
        <v>0</v>
      </c>
      <c r="N60" s="23">
        <v>0</v>
      </c>
      <c r="O60" s="23">
        <v>0</v>
      </c>
      <c r="P60" s="23">
        <v>0</v>
      </c>
      <c r="Q60" s="23">
        <v>0</v>
      </c>
      <c r="R60" s="23">
        <v>0</v>
      </c>
      <c r="S60" s="39">
        <f t="shared" si="6"/>
        <v>-23063</v>
      </c>
    </row>
    <row r="61" spans="1:19" x14ac:dyDescent="0.25">
      <c r="A61" s="18" t="s">
        <v>141</v>
      </c>
      <c r="B61" s="26">
        <f>B33+B47+B59+B60</f>
        <v>-134379</v>
      </c>
      <c r="C61" s="25">
        <f t="shared" ref="C61:H61" si="9">C33+C47+C59+C60</f>
        <v>53170</v>
      </c>
      <c r="D61" s="25">
        <f t="shared" si="9"/>
        <v>-706928</v>
      </c>
      <c r="E61" s="25">
        <f>E33+E47+E59+E60</f>
        <v>369485</v>
      </c>
      <c r="F61" s="25">
        <f t="shared" si="9"/>
        <v>137293</v>
      </c>
      <c r="G61" s="25">
        <f t="shared" si="9"/>
        <v>-217569</v>
      </c>
      <c r="H61" s="25">
        <f t="shared" si="9"/>
        <v>-577247</v>
      </c>
      <c r="I61" s="25">
        <f t="shared" ref="I61:R61" si="10">I33+I47+I59+I60</f>
        <v>533875</v>
      </c>
      <c r="J61" s="25">
        <f t="shared" si="10"/>
        <v>18992</v>
      </c>
      <c r="K61" s="25">
        <f t="shared" si="10"/>
        <v>412501</v>
      </c>
      <c r="L61" s="25">
        <f t="shared" si="10"/>
        <v>139996</v>
      </c>
      <c r="M61" s="25">
        <f t="shared" si="10"/>
        <v>-466365</v>
      </c>
      <c r="N61" s="25">
        <f t="shared" si="10"/>
        <v>320658</v>
      </c>
      <c r="O61" s="25">
        <f t="shared" si="10"/>
        <v>128578</v>
      </c>
      <c r="P61" s="25">
        <f t="shared" si="10"/>
        <v>-36165</v>
      </c>
      <c r="Q61" s="25">
        <f t="shared" si="10"/>
        <v>136844</v>
      </c>
      <c r="R61" s="25">
        <f t="shared" si="10"/>
        <v>-121609</v>
      </c>
      <c r="S61" s="44">
        <f>S33+S47+S59+S60</f>
        <v>-8870</v>
      </c>
    </row>
    <row r="62" spans="1:19" x14ac:dyDescent="0.25">
      <c r="A62" s="18" t="s">
        <v>240</v>
      </c>
      <c r="B62" s="24">
        <v>0</v>
      </c>
      <c r="C62" s="48">
        <v>0</v>
      </c>
      <c r="D62" s="48">
        <v>0</v>
      </c>
      <c r="E62" s="48">
        <v>-423813</v>
      </c>
      <c r="F62" s="48">
        <v>240793</v>
      </c>
      <c r="G62" s="48">
        <v>-53026</v>
      </c>
      <c r="H62" s="48">
        <v>-15793</v>
      </c>
      <c r="I62" s="48">
        <v>0</v>
      </c>
      <c r="J62" s="48">
        <v>0</v>
      </c>
      <c r="K62" s="48">
        <v>0</v>
      </c>
      <c r="L62" s="48">
        <v>0</v>
      </c>
      <c r="M62" s="48">
        <v>0</v>
      </c>
      <c r="N62" s="48">
        <v>0</v>
      </c>
      <c r="O62" s="48">
        <v>0</v>
      </c>
      <c r="P62" s="48">
        <v>0</v>
      </c>
      <c r="Q62" s="48">
        <v>0</v>
      </c>
      <c r="R62" s="24">
        <v>0</v>
      </c>
      <c r="S62" s="48">
        <v>0</v>
      </c>
    </row>
    <row r="63" spans="1:19" x14ac:dyDescent="0.25">
      <c r="A63" s="18" t="s">
        <v>241</v>
      </c>
      <c r="B63" s="26">
        <f t="shared" ref="B63:E63" si="11">B61-B62</f>
        <v>-134379</v>
      </c>
      <c r="C63" s="25">
        <f t="shared" si="11"/>
        <v>53170</v>
      </c>
      <c r="D63" s="25">
        <f t="shared" si="11"/>
        <v>-706928</v>
      </c>
      <c r="E63" s="25">
        <f t="shared" si="11"/>
        <v>793298</v>
      </c>
      <c r="F63" s="25">
        <f>F61-F62</f>
        <v>-103500</v>
      </c>
      <c r="G63" s="25">
        <f>G61-G62</f>
        <v>-164543</v>
      </c>
      <c r="H63" s="25">
        <f>H61-H62</f>
        <v>-561454</v>
      </c>
      <c r="I63" s="25">
        <f t="shared" ref="I63:S63" si="12">I61-I62</f>
        <v>533875</v>
      </c>
      <c r="J63" s="25">
        <f t="shared" si="12"/>
        <v>18992</v>
      </c>
      <c r="K63" s="25">
        <f t="shared" si="12"/>
        <v>412501</v>
      </c>
      <c r="L63" s="25">
        <f t="shared" si="12"/>
        <v>139996</v>
      </c>
      <c r="M63" s="25">
        <f t="shared" si="12"/>
        <v>-466365</v>
      </c>
      <c r="N63" s="25">
        <f t="shared" si="12"/>
        <v>320658</v>
      </c>
      <c r="O63" s="25">
        <f t="shared" si="12"/>
        <v>128578</v>
      </c>
      <c r="P63" s="25">
        <f t="shared" si="12"/>
        <v>-36165</v>
      </c>
      <c r="Q63" s="25">
        <f t="shared" si="12"/>
        <v>136844</v>
      </c>
      <c r="R63" s="26">
        <f t="shared" si="12"/>
        <v>-121609</v>
      </c>
      <c r="S63" s="25">
        <f t="shared" si="12"/>
        <v>-8870</v>
      </c>
    </row>
    <row r="64" spans="1:19" x14ac:dyDescent="0.25">
      <c r="A64" s="18" t="s">
        <v>142</v>
      </c>
      <c r="B64" s="24">
        <v>554960</v>
      </c>
      <c r="C64" s="23">
        <v>501790</v>
      </c>
      <c r="D64" s="23">
        <v>1208718</v>
      </c>
      <c r="E64" s="23">
        <v>415420</v>
      </c>
      <c r="F64" s="23">
        <v>518920</v>
      </c>
      <c r="G64" s="23">
        <v>683463</v>
      </c>
      <c r="H64" s="23">
        <v>1244917</v>
      </c>
      <c r="I64" s="23">
        <v>965241</v>
      </c>
      <c r="J64" s="23">
        <v>946249</v>
      </c>
      <c r="K64" s="23">
        <v>533748</v>
      </c>
      <c r="L64" s="23">
        <v>393752</v>
      </c>
      <c r="M64" s="23">
        <v>860117</v>
      </c>
      <c r="N64" s="23">
        <v>539459</v>
      </c>
      <c r="O64" s="23">
        <v>410881</v>
      </c>
      <c r="P64" s="23">
        <v>447046</v>
      </c>
      <c r="Q64" s="23">
        <v>310202</v>
      </c>
      <c r="R64" s="23">
        <v>431811</v>
      </c>
      <c r="S64" s="39">
        <v>431811</v>
      </c>
    </row>
    <row r="65" spans="1:19" ht="20" thickBot="1" x14ac:dyDescent="0.3">
      <c r="A65" s="27" t="s">
        <v>143</v>
      </c>
      <c r="B65" s="31">
        <f t="shared" ref="B65:E65" si="13">B64+B63</f>
        <v>420581</v>
      </c>
      <c r="C65" s="30">
        <f t="shared" si="13"/>
        <v>554960</v>
      </c>
      <c r="D65" s="30">
        <f t="shared" si="13"/>
        <v>501790</v>
      </c>
      <c r="E65" s="30">
        <f t="shared" si="13"/>
        <v>1208718</v>
      </c>
      <c r="F65" s="30">
        <f>F64+F63</f>
        <v>415420</v>
      </c>
      <c r="G65" s="30">
        <f t="shared" ref="G65:R65" si="14">G64+G63</f>
        <v>518920</v>
      </c>
      <c r="H65" s="30">
        <f t="shared" si="14"/>
        <v>683463</v>
      </c>
      <c r="I65" s="30">
        <f t="shared" si="14"/>
        <v>1499116</v>
      </c>
      <c r="J65" s="30">
        <f t="shared" si="14"/>
        <v>965241</v>
      </c>
      <c r="K65" s="30">
        <f t="shared" si="14"/>
        <v>946249</v>
      </c>
      <c r="L65" s="30">
        <f t="shared" si="14"/>
        <v>533748</v>
      </c>
      <c r="M65" s="30">
        <f t="shared" si="14"/>
        <v>393752</v>
      </c>
      <c r="N65" s="30">
        <f t="shared" si="14"/>
        <v>860117</v>
      </c>
      <c r="O65" s="30">
        <f t="shared" si="14"/>
        <v>539459</v>
      </c>
      <c r="P65" s="30">
        <f t="shared" si="14"/>
        <v>410881</v>
      </c>
      <c r="Q65" s="30">
        <f t="shared" si="14"/>
        <v>447046</v>
      </c>
      <c r="R65" s="30">
        <f t="shared" si="14"/>
        <v>310202</v>
      </c>
      <c r="S65" s="45">
        <f>S64+S63</f>
        <v>422941</v>
      </c>
    </row>
    <row r="66" spans="1:19" ht="20" thickTop="1" x14ac:dyDescent="0.25">
      <c r="B66" s="46"/>
      <c r="C66" s="48"/>
      <c r="D66" s="48"/>
      <c r="E66" s="48"/>
      <c r="F66" s="48"/>
      <c r="G66" s="48"/>
      <c r="H66" s="48"/>
      <c r="I66" s="23"/>
      <c r="J66" s="23"/>
      <c r="K66" s="23"/>
      <c r="L66" s="23"/>
      <c r="M66" s="23"/>
      <c r="N66" s="23"/>
      <c r="O66" s="23"/>
      <c r="P66" s="23"/>
      <c r="Q66" s="23"/>
      <c r="R66" s="46"/>
      <c r="S66" s="23"/>
    </row>
    <row r="67" spans="1:19" x14ac:dyDescent="0.25">
      <c r="A67" s="47"/>
      <c r="B67" s="63" t="s">
        <v>237</v>
      </c>
      <c r="C67" s="108">
        <v>2021</v>
      </c>
      <c r="D67" s="108">
        <v>2020</v>
      </c>
      <c r="E67" s="108">
        <v>2019</v>
      </c>
      <c r="F67" s="108">
        <v>2018</v>
      </c>
      <c r="G67" s="108">
        <v>2017</v>
      </c>
      <c r="H67" s="108">
        <v>2016</v>
      </c>
      <c r="I67" s="108">
        <v>2015</v>
      </c>
      <c r="J67" s="108">
        <v>2014</v>
      </c>
      <c r="K67" s="108">
        <v>2013</v>
      </c>
      <c r="L67" s="108">
        <v>2012</v>
      </c>
      <c r="M67" s="111">
        <v>2011</v>
      </c>
      <c r="N67" s="114" t="s">
        <v>214</v>
      </c>
      <c r="O67" s="23"/>
      <c r="P67" s="23"/>
      <c r="Q67" s="23"/>
      <c r="R67" s="24"/>
      <c r="S67" s="23"/>
    </row>
    <row r="68" spans="1:19" x14ac:dyDescent="0.25">
      <c r="A68" s="47"/>
      <c r="B68" s="6">
        <v>44651</v>
      </c>
      <c r="C68" s="109"/>
      <c r="D68" s="109"/>
      <c r="E68" s="109"/>
      <c r="F68" s="109"/>
      <c r="G68" s="109"/>
      <c r="H68" s="109"/>
      <c r="I68" s="109"/>
      <c r="J68" s="109"/>
      <c r="K68" s="109"/>
      <c r="L68" s="109"/>
      <c r="M68" s="112"/>
      <c r="N68" s="115"/>
      <c r="O68" s="23"/>
      <c r="P68" s="23"/>
      <c r="Q68" s="23"/>
      <c r="R68" s="24"/>
      <c r="S68" s="23"/>
    </row>
    <row r="69" spans="1:19" x14ac:dyDescent="0.25">
      <c r="A69" s="18" t="s">
        <v>7</v>
      </c>
      <c r="B69" s="24">
        <f>B7</f>
        <v>205718</v>
      </c>
      <c r="C69" s="48">
        <f t="shared" ref="C69:H69" si="15">C7</f>
        <v>1211762</v>
      </c>
      <c r="D69" s="48">
        <f t="shared" si="15"/>
        <v>994677</v>
      </c>
      <c r="E69" s="48">
        <f t="shared" si="15"/>
        <v>1021294</v>
      </c>
      <c r="F69" s="48">
        <f t="shared" si="15"/>
        <v>333040</v>
      </c>
      <c r="G69" s="48">
        <f t="shared" si="15"/>
        <v>830555</v>
      </c>
      <c r="H69" s="48">
        <f t="shared" si="15"/>
        <v>1033082</v>
      </c>
      <c r="I69" s="48">
        <f t="shared" ref="I69:M69" si="16">I7</f>
        <v>427410</v>
      </c>
      <c r="J69" s="48">
        <f t="shared" si="16"/>
        <v>863330</v>
      </c>
      <c r="K69" s="48">
        <f t="shared" si="16"/>
        <v>757201</v>
      </c>
      <c r="L69" s="48">
        <f t="shared" si="16"/>
        <v>641237</v>
      </c>
      <c r="M69" s="24">
        <f t="shared" si="16"/>
        <v>573395</v>
      </c>
      <c r="N69" s="23">
        <f t="shared" ref="N69:N75" si="17">SUM(B69:M69)</f>
        <v>8892701</v>
      </c>
      <c r="O69" s="23"/>
      <c r="P69" s="23"/>
      <c r="Q69" s="23"/>
      <c r="R69" s="24"/>
      <c r="S69" s="23"/>
    </row>
    <row r="70" spans="1:19" x14ac:dyDescent="0.25">
      <c r="A70" s="18" t="s">
        <v>210</v>
      </c>
      <c r="B70" s="24">
        <f>B33</f>
        <v>322195</v>
      </c>
      <c r="C70" s="48">
        <f t="shared" ref="C70:H70" si="18">C33</f>
        <v>1930876</v>
      </c>
      <c r="D70" s="48">
        <f t="shared" si="18"/>
        <v>1979028</v>
      </c>
      <c r="E70" s="48">
        <f t="shared" si="18"/>
        <v>2072355</v>
      </c>
      <c r="F70" s="48">
        <f t="shared" si="18"/>
        <v>1771640</v>
      </c>
      <c r="G70" s="48">
        <f t="shared" si="18"/>
        <v>1913166</v>
      </c>
      <c r="H70" s="48">
        <f t="shared" si="18"/>
        <v>1972126</v>
      </c>
      <c r="I70" s="48">
        <f t="shared" ref="I70:M70" si="19">I33</f>
        <v>1557200</v>
      </c>
      <c r="J70" s="48">
        <f t="shared" si="19"/>
        <v>1459407</v>
      </c>
      <c r="K70" s="48">
        <f t="shared" si="19"/>
        <v>1773341</v>
      </c>
      <c r="L70" s="48">
        <f t="shared" si="19"/>
        <v>1100848</v>
      </c>
      <c r="M70" s="24">
        <f t="shared" si="19"/>
        <v>1180046</v>
      </c>
      <c r="N70" s="23">
        <f t="shared" si="17"/>
        <v>19032228</v>
      </c>
      <c r="O70" s="23"/>
      <c r="P70" s="23"/>
      <c r="Q70" s="23"/>
      <c r="R70" s="24"/>
      <c r="S70" s="23"/>
    </row>
    <row r="71" spans="1:19" x14ac:dyDescent="0.25">
      <c r="A71" s="18" t="s">
        <v>211</v>
      </c>
      <c r="B71" s="24">
        <f>-B35</f>
        <v>123108</v>
      </c>
      <c r="C71" s="48">
        <f t="shared" ref="C71:H71" si="20">-C35</f>
        <v>641465</v>
      </c>
      <c r="D71" s="48">
        <f t="shared" si="20"/>
        <v>674541</v>
      </c>
      <c r="E71" s="48">
        <f t="shared" si="20"/>
        <v>766546</v>
      </c>
      <c r="F71" s="48">
        <f t="shared" si="20"/>
        <v>987138</v>
      </c>
      <c r="G71" s="48">
        <f t="shared" si="20"/>
        <v>905250</v>
      </c>
      <c r="H71" s="48">
        <f t="shared" si="20"/>
        <v>829095</v>
      </c>
      <c r="I71" s="48">
        <f t="shared" ref="I71:M71" si="21">-I35</f>
        <v>707998</v>
      </c>
      <c r="J71" s="48">
        <f t="shared" si="21"/>
        <v>641330</v>
      </c>
      <c r="K71" s="48">
        <f t="shared" si="21"/>
        <v>617597</v>
      </c>
      <c r="L71" s="48">
        <f t="shared" si="21"/>
        <v>550146</v>
      </c>
      <c r="M71" s="24">
        <f t="shared" si="21"/>
        <v>400156</v>
      </c>
      <c r="N71" s="23">
        <f t="shared" si="17"/>
        <v>7844370</v>
      </c>
      <c r="O71" s="23"/>
      <c r="P71" s="23"/>
      <c r="Q71" s="23"/>
      <c r="R71" s="24"/>
      <c r="S71" s="23"/>
    </row>
    <row r="72" spans="1:19" x14ac:dyDescent="0.25">
      <c r="A72" s="18" t="s">
        <v>21</v>
      </c>
      <c r="B72" s="24">
        <f t="shared" ref="B72:H72" si="22">B70-B71</f>
        <v>199087</v>
      </c>
      <c r="C72" s="48">
        <f t="shared" si="22"/>
        <v>1289411</v>
      </c>
      <c r="D72" s="48">
        <f t="shared" si="22"/>
        <v>1304487</v>
      </c>
      <c r="E72" s="48">
        <f t="shared" si="22"/>
        <v>1305809</v>
      </c>
      <c r="F72" s="48">
        <f t="shared" si="22"/>
        <v>784502</v>
      </c>
      <c r="G72" s="48">
        <f t="shared" si="22"/>
        <v>1007916</v>
      </c>
      <c r="H72" s="48">
        <f t="shared" si="22"/>
        <v>1143031</v>
      </c>
      <c r="I72" s="48">
        <f t="shared" ref="I72:M72" si="23">I70-I71</f>
        <v>849202</v>
      </c>
      <c r="J72" s="48">
        <f t="shared" si="23"/>
        <v>818077</v>
      </c>
      <c r="K72" s="48">
        <f t="shared" si="23"/>
        <v>1155744</v>
      </c>
      <c r="L72" s="48">
        <f t="shared" si="23"/>
        <v>550702</v>
      </c>
      <c r="M72" s="24">
        <f t="shared" si="23"/>
        <v>779890</v>
      </c>
      <c r="N72" s="23">
        <f t="shared" si="17"/>
        <v>11187858</v>
      </c>
      <c r="O72" s="23"/>
      <c r="P72" s="23"/>
      <c r="Q72" s="23"/>
      <c r="R72" s="24"/>
      <c r="S72" s="23"/>
    </row>
    <row r="73" spans="1:19" x14ac:dyDescent="0.25">
      <c r="A73" s="18" t="s">
        <v>212</v>
      </c>
      <c r="B73" s="24">
        <f t="shared" ref="B73:H73" si="24">-B36</f>
        <v>5166</v>
      </c>
      <c r="C73" s="48">
        <f t="shared" si="24"/>
        <v>187050</v>
      </c>
      <c r="D73" s="48">
        <f t="shared" si="24"/>
        <v>182013</v>
      </c>
      <c r="E73" s="48">
        <f t="shared" si="24"/>
        <v>100861</v>
      </c>
      <c r="F73" s="48">
        <f t="shared" si="24"/>
        <v>183156</v>
      </c>
      <c r="G73" s="48">
        <f t="shared" si="24"/>
        <v>803879</v>
      </c>
      <c r="H73" s="48">
        <f t="shared" si="24"/>
        <v>563856</v>
      </c>
      <c r="I73" s="48">
        <f t="shared" ref="I73:M73" si="25">-I36</f>
        <v>96469</v>
      </c>
      <c r="J73" s="48">
        <f t="shared" si="25"/>
        <v>272094</v>
      </c>
      <c r="K73" s="48">
        <f t="shared" si="25"/>
        <v>310394</v>
      </c>
      <c r="L73" s="48">
        <f t="shared" si="25"/>
        <v>4294077</v>
      </c>
      <c r="M73" s="24">
        <f t="shared" si="25"/>
        <v>1077442</v>
      </c>
      <c r="N73" s="23">
        <f t="shared" si="17"/>
        <v>8076457</v>
      </c>
      <c r="O73" s="23"/>
      <c r="P73" s="23"/>
      <c r="Q73" s="23"/>
      <c r="R73" s="24"/>
      <c r="S73" s="23"/>
    </row>
    <row r="74" spans="1:19" x14ac:dyDescent="0.25">
      <c r="A74" s="18" t="s">
        <v>213</v>
      </c>
      <c r="B74" s="24">
        <f t="shared" ref="B74:H74" si="26">-B52</f>
        <v>236232</v>
      </c>
      <c r="C74" s="48">
        <f t="shared" si="26"/>
        <v>1538626</v>
      </c>
      <c r="D74" s="48">
        <f t="shared" si="26"/>
        <v>1458442</v>
      </c>
      <c r="E74" s="48">
        <f t="shared" si="26"/>
        <v>2383816</v>
      </c>
      <c r="F74" s="48">
        <f t="shared" si="26"/>
        <v>1161511</v>
      </c>
      <c r="G74" s="48">
        <f t="shared" si="26"/>
        <v>802949</v>
      </c>
      <c r="H74" s="48">
        <f t="shared" si="26"/>
        <v>1097822</v>
      </c>
      <c r="I74" s="48">
        <f t="shared" ref="I74:M74" si="27">-I52</f>
        <v>549935</v>
      </c>
      <c r="J74" s="48">
        <f t="shared" si="27"/>
        <v>0</v>
      </c>
      <c r="K74" s="48">
        <f t="shared" si="27"/>
        <v>0</v>
      </c>
      <c r="L74" s="48">
        <f t="shared" si="27"/>
        <v>0</v>
      </c>
      <c r="M74" s="24">
        <f t="shared" si="27"/>
        <v>323348</v>
      </c>
      <c r="N74" s="23">
        <f t="shared" si="17"/>
        <v>9552681</v>
      </c>
      <c r="O74" s="23"/>
      <c r="P74" s="23"/>
      <c r="Q74" s="23"/>
      <c r="R74" s="24"/>
      <c r="S74" s="23"/>
    </row>
    <row r="75" spans="1:19" x14ac:dyDescent="0.25">
      <c r="A75" s="18" t="s">
        <v>22</v>
      </c>
      <c r="B75" s="24">
        <f t="shared" ref="B75:H75" si="28">SUM(B49:B50)</f>
        <v>-44705</v>
      </c>
      <c r="C75" s="48">
        <f t="shared" si="28"/>
        <v>754255</v>
      </c>
      <c r="D75" s="48">
        <f t="shared" si="28"/>
        <v>-63529</v>
      </c>
      <c r="E75" s="48">
        <f t="shared" si="28"/>
        <v>-1994872</v>
      </c>
      <c r="F75" s="48">
        <f t="shared" si="28"/>
        <v>694777</v>
      </c>
      <c r="G75" s="48">
        <f t="shared" si="28"/>
        <v>154848</v>
      </c>
      <c r="H75" s="48">
        <f t="shared" si="28"/>
        <v>-124442</v>
      </c>
      <c r="I75" s="48">
        <f t="shared" ref="I75:M75" si="29">SUM(I49:I50)</f>
        <v>619698</v>
      </c>
      <c r="J75" s="48">
        <f t="shared" si="29"/>
        <v>-7979</v>
      </c>
      <c r="K75" s="48">
        <f t="shared" si="29"/>
        <v>-437288</v>
      </c>
      <c r="L75" s="48">
        <f t="shared" si="29"/>
        <v>3904907</v>
      </c>
      <c r="M75" s="24">
        <f t="shared" si="29"/>
        <v>127660</v>
      </c>
      <c r="N75" s="23">
        <f t="shared" si="17"/>
        <v>3583330</v>
      </c>
      <c r="O75" s="23"/>
      <c r="P75" s="23"/>
      <c r="Q75" s="23"/>
      <c r="R75" s="24"/>
      <c r="S75" s="23"/>
    </row>
    <row r="76" spans="1:19" x14ac:dyDescent="0.25">
      <c r="B76" s="24"/>
      <c r="C76" s="23"/>
      <c r="D76" s="23"/>
      <c r="E76" s="23"/>
      <c r="F76" s="23"/>
      <c r="G76" s="23"/>
      <c r="H76" s="23"/>
      <c r="I76" s="23"/>
      <c r="J76" s="23"/>
      <c r="K76" s="23"/>
      <c r="L76" s="23"/>
      <c r="M76" s="24"/>
      <c r="N76" s="23"/>
      <c r="O76" s="23"/>
      <c r="P76" s="23"/>
      <c r="Q76" s="23"/>
      <c r="R76" s="24"/>
      <c r="S76" s="23"/>
    </row>
    <row r="77" spans="1:19" x14ac:dyDescent="0.25">
      <c r="A77" s="49" t="s">
        <v>25</v>
      </c>
      <c r="B77" s="50">
        <f t="shared" ref="B77:N77" si="30">B72/B69</f>
        <v>0.96776655421499336</v>
      </c>
      <c r="C77" s="51">
        <f t="shared" si="30"/>
        <v>1.0640794149346158</v>
      </c>
      <c r="D77" s="51">
        <f t="shared" si="30"/>
        <v>1.3114679438651944</v>
      </c>
      <c r="E77" s="51">
        <f t="shared" si="30"/>
        <v>1.2785828566504847</v>
      </c>
      <c r="F77" s="51">
        <f t="shared" si="30"/>
        <v>2.3555789094403075</v>
      </c>
      <c r="G77" s="51">
        <f t="shared" si="30"/>
        <v>1.2135451595619797</v>
      </c>
      <c r="H77" s="51">
        <f t="shared" si="30"/>
        <v>1.1064281441357027</v>
      </c>
      <c r="I77" s="51">
        <f t="shared" si="30"/>
        <v>1.9868557123137034</v>
      </c>
      <c r="J77" s="51">
        <f t="shared" si="30"/>
        <v>0.94758319530191237</v>
      </c>
      <c r="K77" s="51">
        <f t="shared" si="30"/>
        <v>1.5263371284507019</v>
      </c>
      <c r="L77" s="51">
        <f t="shared" si="30"/>
        <v>0.85881195252301412</v>
      </c>
      <c r="M77" s="50">
        <f t="shared" si="30"/>
        <v>1.3601269630882724</v>
      </c>
      <c r="N77" s="51">
        <f t="shared" si="30"/>
        <v>1.2580944754580188</v>
      </c>
      <c r="O77" s="34">
        <f>(O33+O35)/O7</f>
        <v>0.81729576724980668</v>
      </c>
      <c r="P77" s="34">
        <f>(P33+P35)/P7</f>
        <v>0.70193439665812207</v>
      </c>
      <c r="Q77" s="34">
        <f>(Q33+Q35)/Q7</f>
        <v>0.72053667037604718</v>
      </c>
      <c r="R77" s="35">
        <f>(R33+R35)/R7</f>
        <v>0.88667925479217513</v>
      </c>
      <c r="S77" s="34">
        <f>(S33+S35)/S7</f>
        <v>1.1828942430171949</v>
      </c>
    </row>
    <row r="78" spans="1:19" x14ac:dyDescent="0.25">
      <c r="B78" s="23"/>
      <c r="C78" s="23"/>
      <c r="D78" s="23"/>
      <c r="E78" s="23"/>
      <c r="F78" s="23"/>
      <c r="G78" s="23"/>
      <c r="H78" s="23"/>
      <c r="I78" s="23"/>
      <c r="J78" s="23"/>
      <c r="K78" s="23"/>
      <c r="L78" s="23"/>
      <c r="M78" s="23"/>
      <c r="N78" s="23"/>
      <c r="O78" s="23"/>
      <c r="P78" s="23"/>
      <c r="Q78" s="23"/>
      <c r="R78" s="23"/>
      <c r="S78" s="23"/>
    </row>
    <row r="79" spans="1:19" x14ac:dyDescent="0.25">
      <c r="A79" s="52" t="s">
        <v>242</v>
      </c>
      <c r="B79" s="52"/>
      <c r="C79" s="27"/>
      <c r="D79" s="27"/>
      <c r="E79" s="27"/>
      <c r="F79" s="27"/>
      <c r="G79" s="27"/>
      <c r="H79" s="27"/>
    </row>
    <row r="80" spans="1:19" x14ac:dyDescent="0.25">
      <c r="A80" s="18" t="s">
        <v>21</v>
      </c>
      <c r="B80" s="53">
        <f>S33+S35</f>
        <v>13007499</v>
      </c>
      <c r="C80" s="53"/>
      <c r="D80" s="53"/>
      <c r="E80" s="53"/>
      <c r="F80" s="53"/>
      <c r="G80" s="53"/>
      <c r="H80" s="53"/>
    </row>
    <row r="81" spans="1:19" x14ac:dyDescent="0.25">
      <c r="A81" s="18" t="s">
        <v>22</v>
      </c>
      <c r="B81" s="53">
        <f>S49+S50</f>
        <v>3729042</v>
      </c>
      <c r="C81" s="53"/>
      <c r="D81" s="53"/>
      <c r="E81" s="53"/>
      <c r="F81" s="53"/>
      <c r="G81" s="53"/>
      <c r="H81" s="53"/>
    </row>
    <row r="82" spans="1:19" x14ac:dyDescent="0.25">
      <c r="A82" s="18" t="s">
        <v>23</v>
      </c>
      <c r="B82" s="53">
        <f>-S36</f>
        <v>8668133</v>
      </c>
      <c r="C82" s="53"/>
      <c r="D82" s="53"/>
      <c r="E82" s="53"/>
      <c r="F82" s="53"/>
      <c r="G82" s="53"/>
      <c r="H82" s="53"/>
    </row>
    <row r="83" spans="1:19" x14ac:dyDescent="0.25">
      <c r="A83" s="18" t="s">
        <v>24</v>
      </c>
      <c r="B83" s="53">
        <f>-S52</f>
        <v>10563737</v>
      </c>
      <c r="C83" s="53"/>
      <c r="D83" s="53"/>
      <c r="E83" s="53"/>
      <c r="F83" s="53"/>
      <c r="G83" s="53"/>
      <c r="H83" s="53"/>
    </row>
    <row r="85" spans="1:19" x14ac:dyDescent="0.25">
      <c r="B85" s="23"/>
      <c r="C85" s="23"/>
      <c r="D85" s="23"/>
      <c r="E85" s="23"/>
      <c r="F85" s="23"/>
      <c r="G85" s="23"/>
      <c r="H85" s="23"/>
      <c r="I85" s="23"/>
      <c r="J85" s="23"/>
      <c r="K85" s="23"/>
      <c r="L85" s="23"/>
      <c r="M85" s="23"/>
      <c r="N85" s="23"/>
      <c r="O85" s="23"/>
      <c r="P85" s="23"/>
      <c r="Q85" s="23"/>
      <c r="R85" s="23"/>
      <c r="S85" s="23"/>
    </row>
    <row r="86" spans="1:19" x14ac:dyDescent="0.25">
      <c r="A86" s="27" t="s">
        <v>311</v>
      </c>
      <c r="B86" s="24"/>
      <c r="C86" s="23"/>
      <c r="D86" s="23"/>
      <c r="E86" s="23"/>
      <c r="F86" s="23"/>
      <c r="G86" s="23"/>
      <c r="H86" s="23"/>
      <c r="I86" s="23"/>
      <c r="J86" s="23"/>
      <c r="K86" s="23"/>
      <c r="L86" s="23"/>
      <c r="M86" s="23"/>
      <c r="N86" s="23"/>
      <c r="O86" s="23"/>
      <c r="P86" s="23"/>
      <c r="Q86" s="23"/>
      <c r="R86" s="23"/>
      <c r="S86" s="23"/>
    </row>
    <row r="87" spans="1:19" x14ac:dyDescent="0.25">
      <c r="A87" s="27" t="s">
        <v>118</v>
      </c>
      <c r="B87" s="40">
        <v>322</v>
      </c>
      <c r="C87" s="41">
        <v>1931</v>
      </c>
      <c r="D87" s="41">
        <v>1979</v>
      </c>
      <c r="E87" s="41">
        <v>1973</v>
      </c>
      <c r="F87" s="41">
        <v>1480.9559999999999</v>
      </c>
      <c r="G87" s="41">
        <v>1555.8920000000001</v>
      </c>
      <c r="H87" s="23"/>
      <c r="I87" s="23"/>
      <c r="J87" s="23"/>
      <c r="K87" s="23"/>
      <c r="L87" s="23"/>
      <c r="M87" s="23"/>
      <c r="N87" s="23"/>
      <c r="O87" s="23"/>
      <c r="P87" s="23"/>
      <c r="Q87" s="23"/>
      <c r="R87" s="23"/>
      <c r="S87" s="23"/>
    </row>
    <row r="88" spans="1:19" ht="80" x14ac:dyDescent="0.25">
      <c r="A88" s="67" t="s">
        <v>312</v>
      </c>
      <c r="B88" s="24"/>
      <c r="C88" s="23"/>
      <c r="D88" s="23"/>
      <c r="E88" s="23"/>
      <c r="F88" s="23"/>
      <c r="G88" s="23"/>
      <c r="H88" s="23"/>
      <c r="I88" s="23"/>
      <c r="J88" s="23"/>
      <c r="K88" s="23"/>
      <c r="L88" s="23"/>
      <c r="M88" s="23"/>
      <c r="N88" s="23"/>
      <c r="O88" s="23"/>
      <c r="P88" s="23"/>
      <c r="Q88" s="23"/>
      <c r="R88" s="23"/>
      <c r="S88" s="23"/>
    </row>
    <row r="89" spans="1:19" x14ac:dyDescent="0.25">
      <c r="A89" s="18" t="s">
        <v>313</v>
      </c>
      <c r="B89" s="24">
        <v>-65</v>
      </c>
      <c r="C89" s="23">
        <v>-244</v>
      </c>
      <c r="D89" s="23">
        <v>-253</v>
      </c>
      <c r="E89" s="23">
        <v>-233</v>
      </c>
      <c r="F89" s="105">
        <v>-196.441</v>
      </c>
      <c r="G89" s="105">
        <v>-210.892</v>
      </c>
      <c r="H89" s="23"/>
    </row>
    <row r="90" spans="1:19" x14ac:dyDescent="0.25">
      <c r="A90" s="18" t="s">
        <v>314</v>
      </c>
      <c r="B90" s="24">
        <v>5</v>
      </c>
      <c r="C90" s="23">
        <v>32</v>
      </c>
      <c r="D90" s="23">
        <v>43</v>
      </c>
      <c r="E90" s="23">
        <v>57</v>
      </c>
      <c r="F90" s="105"/>
      <c r="G90" s="105"/>
      <c r="H90" s="23"/>
    </row>
    <row r="91" spans="1:19" x14ac:dyDescent="0.25">
      <c r="A91" s="18" t="s">
        <v>316</v>
      </c>
      <c r="B91" s="24">
        <v>-39</v>
      </c>
      <c r="C91" s="23">
        <v>-220</v>
      </c>
      <c r="D91" s="23">
        <v>-275</v>
      </c>
      <c r="E91" s="23">
        <v>-373</v>
      </c>
      <c r="F91" s="105"/>
      <c r="G91" s="105"/>
      <c r="H91" s="23"/>
    </row>
    <row r="92" spans="1:19" x14ac:dyDescent="0.25">
      <c r="A92" s="18" t="s">
        <v>317</v>
      </c>
      <c r="B92" s="24">
        <v>8</v>
      </c>
      <c r="C92" s="23">
        <v>56</v>
      </c>
      <c r="D92" s="23">
        <v>93</v>
      </c>
      <c r="E92" s="23">
        <v>58</v>
      </c>
      <c r="F92" s="105"/>
      <c r="G92" s="105"/>
      <c r="H92" s="23"/>
    </row>
    <row r="93" spans="1:19" x14ac:dyDescent="0.25">
      <c r="A93" s="18" t="s">
        <v>315</v>
      </c>
      <c r="B93" s="24">
        <v>-84</v>
      </c>
      <c r="C93" s="23">
        <v>-421</v>
      </c>
      <c r="D93" s="23">
        <v>-399</v>
      </c>
      <c r="E93" s="23">
        <v>-355</v>
      </c>
      <c r="F93" s="23">
        <v>-415.03800000000001</v>
      </c>
      <c r="G93" s="23">
        <v>-302.697</v>
      </c>
      <c r="H93" s="23"/>
    </row>
    <row r="94" spans="1:19" ht="20" thickBot="1" x14ac:dyDescent="0.3">
      <c r="A94" s="27" t="s">
        <v>21</v>
      </c>
      <c r="B94" s="31">
        <f t="shared" ref="B94:G94" si="31">SUM(B86:B93)</f>
        <v>147</v>
      </c>
      <c r="C94" s="30">
        <f t="shared" si="31"/>
        <v>1134</v>
      </c>
      <c r="D94" s="30">
        <f t="shared" si="31"/>
        <v>1188</v>
      </c>
      <c r="E94" s="30">
        <f t="shared" si="31"/>
        <v>1127</v>
      </c>
      <c r="F94" s="30">
        <f t="shared" si="31"/>
        <v>869.47699999999986</v>
      </c>
      <c r="G94" s="30">
        <f t="shared" si="31"/>
        <v>1042.3029999999999</v>
      </c>
      <c r="H94" s="23"/>
    </row>
    <row r="95" spans="1:19" ht="20" thickTop="1" x14ac:dyDescent="0.25">
      <c r="B95" s="23"/>
      <c r="C95" s="23"/>
      <c r="D95" s="23"/>
      <c r="E95" s="23"/>
      <c r="F95" s="23"/>
      <c r="G95" s="23"/>
      <c r="H95" s="23"/>
    </row>
    <row r="96" spans="1:19" x14ac:dyDescent="0.25">
      <c r="B96" s="23"/>
      <c r="C96" s="23"/>
      <c r="D96" s="23"/>
      <c r="E96" s="23"/>
      <c r="F96" s="23"/>
      <c r="G96" s="23"/>
      <c r="H96" s="23"/>
    </row>
    <row r="97" spans="1:8" x14ac:dyDescent="0.25">
      <c r="A97" s="18" t="s">
        <v>319</v>
      </c>
      <c r="B97" s="23"/>
      <c r="C97" s="23"/>
      <c r="D97" s="23"/>
      <c r="E97" s="23"/>
      <c r="F97" s="23"/>
      <c r="G97" s="23"/>
      <c r="H97" s="23"/>
    </row>
    <row r="98" spans="1:8" x14ac:dyDescent="0.25">
      <c r="A98" s="18" t="s">
        <v>318</v>
      </c>
      <c r="B98" s="23"/>
      <c r="C98" s="23"/>
      <c r="D98" s="23"/>
      <c r="E98" s="23"/>
      <c r="F98" s="23"/>
      <c r="G98" s="23"/>
      <c r="H98" s="23"/>
    </row>
    <row r="99" spans="1:8" x14ac:dyDescent="0.25">
      <c r="B99" s="96"/>
      <c r="C99" s="23"/>
      <c r="D99" s="23"/>
      <c r="E99" s="23"/>
      <c r="F99" s="23"/>
      <c r="G99" s="23"/>
      <c r="H99" s="23"/>
    </row>
    <row r="100" spans="1:8" x14ac:dyDescent="0.25">
      <c r="A100" s="47" t="s">
        <v>325</v>
      </c>
      <c r="B100" s="6" t="s">
        <v>322</v>
      </c>
      <c r="C100" s="38">
        <v>2021</v>
      </c>
      <c r="D100" s="38">
        <v>2020</v>
      </c>
      <c r="E100" s="38">
        <v>2019</v>
      </c>
      <c r="F100" s="38">
        <v>2018</v>
      </c>
      <c r="G100" s="95">
        <v>2017</v>
      </c>
      <c r="H100" s="97" t="s">
        <v>323</v>
      </c>
    </row>
    <row r="101" spans="1:8" x14ac:dyDescent="0.25">
      <c r="A101" s="18" t="s">
        <v>324</v>
      </c>
      <c r="B101" s="23">
        <f>B94</f>
        <v>147</v>
      </c>
      <c r="C101" s="23">
        <f t="shared" ref="C101:G101" si="32">C94</f>
        <v>1134</v>
      </c>
      <c r="D101" s="23">
        <f t="shared" si="32"/>
        <v>1188</v>
      </c>
      <c r="E101" s="23">
        <f t="shared" si="32"/>
        <v>1127</v>
      </c>
      <c r="F101" s="23">
        <f t="shared" si="32"/>
        <v>869.47699999999986</v>
      </c>
      <c r="G101" s="24">
        <f t="shared" si="32"/>
        <v>1042.3029999999999</v>
      </c>
      <c r="H101" s="41">
        <f>SUM(B101:G101)</f>
        <v>5507.78</v>
      </c>
    </row>
    <row r="102" spans="1:8" x14ac:dyDescent="0.25">
      <c r="A102" s="18" t="s">
        <v>321</v>
      </c>
      <c r="B102" s="23">
        <f>B75/1000</f>
        <v>-44.704999999999998</v>
      </c>
      <c r="C102" s="23">
        <f t="shared" ref="C102:G102" si="33">C75/1000</f>
        <v>754.255</v>
      </c>
      <c r="D102" s="23">
        <f t="shared" si="33"/>
        <v>-63.529000000000003</v>
      </c>
      <c r="E102" s="23">
        <f t="shared" si="33"/>
        <v>-1994.8720000000001</v>
      </c>
      <c r="F102" s="23">
        <f t="shared" si="33"/>
        <v>694.77700000000004</v>
      </c>
      <c r="G102" s="24">
        <f t="shared" si="33"/>
        <v>154.84800000000001</v>
      </c>
      <c r="H102" s="41">
        <f t="shared" ref="H102:H104" si="34">SUM(B102:G102)</f>
        <v>-499.22600000000006</v>
      </c>
    </row>
    <row r="103" spans="1:8" x14ac:dyDescent="0.25">
      <c r="A103" s="18" t="s">
        <v>320</v>
      </c>
      <c r="B103" s="23">
        <f>B37/1000</f>
        <v>11.353</v>
      </c>
      <c r="C103" s="23">
        <f t="shared" ref="C103:G103" si="35">C37/1000</f>
        <v>61.463999999999999</v>
      </c>
      <c r="D103" s="23">
        <f t="shared" si="35"/>
        <v>50.139000000000003</v>
      </c>
      <c r="E103" s="23">
        <f t="shared" si="35"/>
        <v>3877.3919999999998</v>
      </c>
      <c r="F103" s="23">
        <f t="shared" si="35"/>
        <v>150.20500000000001</v>
      </c>
      <c r="G103" s="24">
        <f t="shared" si="35"/>
        <v>92.335999999999999</v>
      </c>
      <c r="H103" s="41">
        <f t="shared" si="34"/>
        <v>4242.8890000000001</v>
      </c>
    </row>
    <row r="104" spans="1:8" x14ac:dyDescent="0.25">
      <c r="A104" s="18" t="s">
        <v>213</v>
      </c>
      <c r="B104" s="23">
        <f>-B74/1000</f>
        <v>-236.232</v>
      </c>
      <c r="C104" s="23">
        <f t="shared" ref="C104:G104" si="36">-C74/1000</f>
        <v>-1538.626</v>
      </c>
      <c r="D104" s="23">
        <f t="shared" si="36"/>
        <v>-1458.442</v>
      </c>
      <c r="E104" s="23">
        <f t="shared" si="36"/>
        <v>-2383.8159999999998</v>
      </c>
      <c r="F104" s="23">
        <f t="shared" si="36"/>
        <v>-1161.511</v>
      </c>
      <c r="G104" s="24">
        <f t="shared" si="36"/>
        <v>-802.94899999999996</v>
      </c>
      <c r="H104" s="41">
        <f t="shared" si="34"/>
        <v>-7581.576</v>
      </c>
    </row>
    <row r="105" spans="1:8" x14ac:dyDescent="0.25">
      <c r="B105" s="23"/>
      <c r="C105" s="23"/>
      <c r="D105" s="23"/>
      <c r="E105" s="23"/>
      <c r="F105" s="23"/>
      <c r="G105" s="23"/>
      <c r="H105" s="23"/>
    </row>
  </sheetData>
  <mergeCells count="17">
    <mergeCell ref="S4:S5"/>
    <mergeCell ref="N67:N68"/>
    <mergeCell ref="F89:F92"/>
    <mergeCell ref="G89:G92"/>
    <mergeCell ref="A4:A5"/>
    <mergeCell ref="K67:K68"/>
    <mergeCell ref="L67:L68"/>
    <mergeCell ref="J67:J68"/>
    <mergeCell ref="I67:I68"/>
    <mergeCell ref="C4:R4"/>
    <mergeCell ref="C67:C68"/>
    <mergeCell ref="D67:D68"/>
    <mergeCell ref="E67:E68"/>
    <mergeCell ref="F67:F68"/>
    <mergeCell ref="G67:G68"/>
    <mergeCell ref="H67:H68"/>
    <mergeCell ref="M67:M68"/>
  </mergeCells>
  <pageMargins left="0.75" right="0.75" top="1" bottom="1" header="0.5" footer="0.5"/>
  <pageSetup orientation="portrait" horizontalDpi="0" verticalDpi="0" r:id="rId1"/>
  <ignoredErrors>
    <ignoredError sqref="S59" formula="1"/>
    <ignoredError sqref="I75:M75 F75:H75 B75:E75"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8"/>
  <sheetViews>
    <sheetView workbookViewId="0">
      <pane ySplit="4" topLeftCell="A5" activePane="bottomLeft" state="frozen"/>
      <selection pane="bottomLeft"/>
    </sheetView>
  </sheetViews>
  <sheetFormatPr baseColWidth="10" defaultColWidth="9.1640625" defaultRowHeight="19" x14ac:dyDescent="0.25"/>
  <cols>
    <col min="1" max="1" width="75.33203125" style="18" bestFit="1" customWidth="1"/>
    <col min="2" max="9" width="13.1640625" style="18" customWidth="1"/>
    <col min="10" max="12" width="13.1640625" style="18" bestFit="1" customWidth="1"/>
    <col min="13" max="19" width="12" style="18" bestFit="1" customWidth="1"/>
    <col min="20" max="16384" width="9.1640625" style="18"/>
  </cols>
  <sheetData>
    <row r="1" spans="1:19" ht="21" x14ac:dyDescent="0.25">
      <c r="A1" s="65" t="s">
        <v>196</v>
      </c>
      <c r="B1" s="3"/>
    </row>
    <row r="2" spans="1:19" x14ac:dyDescent="0.25">
      <c r="A2" s="4" t="s">
        <v>243</v>
      </c>
      <c r="B2" s="8"/>
    </row>
    <row r="3" spans="1:19" x14ac:dyDescent="0.25">
      <c r="A3" s="106" t="s">
        <v>8</v>
      </c>
      <c r="B3" s="119" t="s">
        <v>244</v>
      </c>
      <c r="C3" s="120"/>
      <c r="D3" s="110" t="s">
        <v>26</v>
      </c>
      <c r="E3" s="108"/>
      <c r="F3" s="108"/>
      <c r="G3" s="108"/>
      <c r="H3" s="108"/>
      <c r="I3" s="108"/>
      <c r="J3" s="108"/>
      <c r="K3" s="108"/>
      <c r="L3" s="108"/>
      <c r="M3" s="108"/>
      <c r="N3" s="108"/>
      <c r="O3" s="108"/>
      <c r="P3" s="108"/>
      <c r="Q3" s="108"/>
      <c r="R3" s="108"/>
      <c r="S3" s="108"/>
    </row>
    <row r="4" spans="1:19" x14ac:dyDescent="0.25">
      <c r="A4" s="107"/>
      <c r="B4" s="54">
        <v>2022</v>
      </c>
      <c r="C4" s="55">
        <v>2021</v>
      </c>
      <c r="D4" s="38">
        <v>2021</v>
      </c>
      <c r="E4" s="38">
        <v>2020</v>
      </c>
      <c r="F4" s="38">
        <v>2019</v>
      </c>
      <c r="G4" s="38">
        <v>2018</v>
      </c>
      <c r="H4" s="38">
        <v>2017</v>
      </c>
      <c r="I4" s="38">
        <v>2016</v>
      </c>
      <c r="J4" s="38">
        <v>2015</v>
      </c>
      <c r="K4" s="38">
        <v>2014</v>
      </c>
      <c r="L4" s="38">
        <v>2013</v>
      </c>
      <c r="M4" s="38">
        <v>2012</v>
      </c>
      <c r="N4" s="38">
        <v>2011</v>
      </c>
      <c r="O4" s="38">
        <v>2010</v>
      </c>
      <c r="P4" s="38">
        <v>2009</v>
      </c>
      <c r="Q4" s="38">
        <v>2008</v>
      </c>
      <c r="R4" s="38">
        <v>2007</v>
      </c>
      <c r="S4" s="38">
        <v>2006</v>
      </c>
    </row>
    <row r="5" spans="1:19" x14ac:dyDescent="0.25">
      <c r="A5" s="27" t="s">
        <v>162</v>
      </c>
      <c r="B5" s="23"/>
      <c r="C5" s="26"/>
      <c r="D5" s="48"/>
      <c r="E5" s="48"/>
      <c r="F5" s="48"/>
      <c r="G5" s="48"/>
      <c r="H5" s="48"/>
      <c r="I5" s="48"/>
      <c r="J5" s="23"/>
      <c r="K5" s="23"/>
      <c r="L5" s="23"/>
      <c r="M5" s="23"/>
      <c r="N5" s="23"/>
      <c r="O5" s="23"/>
      <c r="P5" s="23"/>
      <c r="Q5" s="23"/>
      <c r="R5" s="23"/>
      <c r="S5" s="23"/>
    </row>
    <row r="6" spans="1:19" x14ac:dyDescent="0.25">
      <c r="A6" s="18" t="s">
        <v>232</v>
      </c>
      <c r="B6" s="23"/>
      <c r="C6" s="24"/>
      <c r="D6" s="48"/>
      <c r="E6" s="48"/>
      <c r="F6" s="48"/>
      <c r="G6" s="48"/>
      <c r="H6" s="48"/>
      <c r="I6" s="48"/>
      <c r="J6" s="23"/>
      <c r="K6" s="23"/>
      <c r="L6" s="23"/>
      <c r="M6" s="23"/>
      <c r="N6" s="23"/>
      <c r="O6" s="23"/>
      <c r="P6" s="23"/>
      <c r="Q6" s="23"/>
      <c r="R6" s="23"/>
      <c r="S6" s="23"/>
    </row>
    <row r="7" spans="1:19" x14ac:dyDescent="0.25">
      <c r="A7" s="18" t="s">
        <v>163</v>
      </c>
      <c r="B7" s="23"/>
      <c r="C7" s="24"/>
      <c r="D7" s="48"/>
      <c r="E7" s="48"/>
      <c r="F7" s="48"/>
      <c r="G7" s="48"/>
      <c r="H7" s="48"/>
      <c r="I7" s="48"/>
      <c r="J7" s="23"/>
      <c r="K7" s="23"/>
      <c r="L7" s="23"/>
      <c r="M7" s="23"/>
      <c r="N7" s="23"/>
      <c r="O7" s="23"/>
      <c r="P7" s="23"/>
      <c r="Q7" s="23"/>
      <c r="R7" s="23"/>
      <c r="S7" s="23"/>
    </row>
    <row r="8" spans="1:19" x14ac:dyDescent="0.25">
      <c r="A8" s="18" t="s">
        <v>164</v>
      </c>
      <c r="B8" s="23">
        <v>2546961</v>
      </c>
      <c r="C8" s="24">
        <v>2556259</v>
      </c>
      <c r="D8" s="23">
        <v>10551106</v>
      </c>
      <c r="E8" s="23">
        <v>10488731</v>
      </c>
      <c r="F8" s="23">
        <v>10421401</v>
      </c>
      <c r="G8" s="23">
        <v>10274046</v>
      </c>
      <c r="H8" s="23">
        <v>9767123</v>
      </c>
      <c r="I8" s="23">
        <v>9482648</v>
      </c>
      <c r="J8" s="23">
        <v>8980515</v>
      </c>
      <c r="K8" s="23">
        <v>8513089</v>
      </c>
      <c r="L8" s="23">
        <v>7998692</v>
      </c>
      <c r="M8" s="23">
        <v>7299032</v>
      </c>
      <c r="N8" s="23">
        <v>6462811</v>
      </c>
      <c r="O8" s="23">
        <v>6043543</v>
      </c>
      <c r="P8" s="121"/>
      <c r="Q8" s="121"/>
      <c r="R8" s="121"/>
      <c r="S8" s="121"/>
    </row>
    <row r="9" spans="1:19" x14ac:dyDescent="0.25">
      <c r="A9" s="18" t="s">
        <v>206</v>
      </c>
      <c r="B9" s="23">
        <v>22159</v>
      </c>
      <c r="C9" s="24">
        <v>26944</v>
      </c>
      <c r="D9" s="23">
        <v>90512</v>
      </c>
      <c r="E9" s="23">
        <v>144091</v>
      </c>
      <c r="F9" s="23">
        <v>131199</v>
      </c>
      <c r="G9" s="23">
        <v>92950</v>
      </c>
      <c r="H9" s="23">
        <v>55175</v>
      </c>
      <c r="I9" s="23">
        <v>68774</v>
      </c>
      <c r="J9" s="23">
        <v>53476</v>
      </c>
      <c r="K9" s="23">
        <v>37112</v>
      </c>
      <c r="L9" s="23">
        <v>34080</v>
      </c>
      <c r="M9" s="23">
        <v>17786</v>
      </c>
      <c r="N9" s="23">
        <v>11141</v>
      </c>
      <c r="O9" s="23">
        <v>9300</v>
      </c>
      <c r="P9" s="121"/>
      <c r="Q9" s="121"/>
      <c r="R9" s="121"/>
      <c r="S9" s="121"/>
    </row>
    <row r="10" spans="1:19" x14ac:dyDescent="0.25">
      <c r="A10" s="18" t="s">
        <v>165</v>
      </c>
      <c r="B10" s="25">
        <f>SUM(B8:B9)</f>
        <v>2569120</v>
      </c>
      <c r="C10" s="26">
        <f t="shared" ref="C10:O10" si="0">SUM(C8:C9)</f>
        <v>2583203</v>
      </c>
      <c r="D10" s="25">
        <f t="shared" ref="D10:I10" si="1">SUM(D8:D9)</f>
        <v>10641618</v>
      </c>
      <c r="E10" s="25">
        <f t="shared" si="1"/>
        <v>10632822</v>
      </c>
      <c r="F10" s="25">
        <f t="shared" si="1"/>
        <v>10552600</v>
      </c>
      <c r="G10" s="25">
        <f t="shared" si="1"/>
        <v>10366996</v>
      </c>
      <c r="H10" s="25">
        <f t="shared" si="1"/>
        <v>9822298</v>
      </c>
      <c r="I10" s="25">
        <f t="shared" si="1"/>
        <v>9551422</v>
      </c>
      <c r="J10" s="25">
        <f t="shared" si="0"/>
        <v>9033991</v>
      </c>
      <c r="K10" s="25">
        <f t="shared" si="0"/>
        <v>8550201</v>
      </c>
      <c r="L10" s="25">
        <f t="shared" si="0"/>
        <v>8032772</v>
      </c>
      <c r="M10" s="25">
        <f t="shared" si="0"/>
        <v>7316818</v>
      </c>
      <c r="N10" s="25">
        <f t="shared" si="0"/>
        <v>6473952</v>
      </c>
      <c r="O10" s="25">
        <f t="shared" si="0"/>
        <v>6052843</v>
      </c>
      <c r="P10" s="121"/>
      <c r="Q10" s="121"/>
      <c r="R10" s="121"/>
      <c r="S10" s="121"/>
    </row>
    <row r="11" spans="1:19" x14ac:dyDescent="0.25">
      <c r="A11" s="18" t="s">
        <v>166</v>
      </c>
      <c r="B11" s="23">
        <v>0</v>
      </c>
      <c r="C11" s="24">
        <v>0</v>
      </c>
      <c r="D11" s="23">
        <v>0</v>
      </c>
      <c r="E11" s="23">
        <v>-13458</v>
      </c>
      <c r="F11" s="23">
        <v>-21715</v>
      </c>
      <c r="G11" s="23">
        <v>-50927</v>
      </c>
      <c r="H11" s="23">
        <v>-482007</v>
      </c>
      <c r="I11" s="23">
        <v>-429882</v>
      </c>
      <c r="J11" s="23">
        <v>-406530</v>
      </c>
      <c r="K11" s="23">
        <v>-353028</v>
      </c>
      <c r="L11" s="23">
        <v>-281146</v>
      </c>
      <c r="M11" s="23">
        <v>-233580</v>
      </c>
      <c r="N11" s="23">
        <v>-190234</v>
      </c>
      <c r="O11" s="23">
        <v>-166301</v>
      </c>
      <c r="P11" s="121"/>
      <c r="Q11" s="121"/>
      <c r="R11" s="121"/>
      <c r="S11" s="121"/>
    </row>
    <row r="12" spans="1:19" x14ac:dyDescent="0.25">
      <c r="A12" s="18" t="s">
        <v>167</v>
      </c>
      <c r="B12" s="25">
        <f>SUM(B10:B11)</f>
        <v>2569120</v>
      </c>
      <c r="C12" s="26">
        <f t="shared" ref="C12:O12" si="2">SUM(C10:C11)</f>
        <v>2583203</v>
      </c>
      <c r="D12" s="25">
        <f t="shared" ref="D12:I12" si="3">SUM(D10:D11)</f>
        <v>10641618</v>
      </c>
      <c r="E12" s="25">
        <f t="shared" si="3"/>
        <v>10619364</v>
      </c>
      <c r="F12" s="25">
        <f t="shared" si="3"/>
        <v>10530885</v>
      </c>
      <c r="G12" s="25">
        <f t="shared" si="3"/>
        <v>10316069</v>
      </c>
      <c r="H12" s="25">
        <f t="shared" si="3"/>
        <v>9340291</v>
      </c>
      <c r="I12" s="25">
        <f t="shared" si="3"/>
        <v>9121540</v>
      </c>
      <c r="J12" s="25">
        <f t="shared" si="2"/>
        <v>8627461</v>
      </c>
      <c r="K12" s="25">
        <f t="shared" si="2"/>
        <v>8197173</v>
      </c>
      <c r="L12" s="25">
        <f t="shared" si="2"/>
        <v>7751626</v>
      </c>
      <c r="M12" s="25">
        <f t="shared" si="2"/>
        <v>7083238</v>
      </c>
      <c r="N12" s="25">
        <f t="shared" si="2"/>
        <v>6283718</v>
      </c>
      <c r="O12" s="25">
        <f t="shared" si="2"/>
        <v>5886542</v>
      </c>
      <c r="P12" s="121"/>
      <c r="Q12" s="121"/>
      <c r="R12" s="121"/>
      <c r="S12" s="121"/>
    </row>
    <row r="13" spans="1:19" x14ac:dyDescent="0.25">
      <c r="A13" s="18" t="s">
        <v>168</v>
      </c>
      <c r="B13" s="23">
        <v>5966</v>
      </c>
      <c r="C13" s="24">
        <v>6616</v>
      </c>
      <c r="D13" s="23">
        <v>25061</v>
      </c>
      <c r="E13" s="23">
        <v>39376</v>
      </c>
      <c r="F13" s="23">
        <v>30895</v>
      </c>
      <c r="G13" s="23">
        <v>19880</v>
      </c>
      <c r="H13" s="23">
        <v>19774</v>
      </c>
      <c r="I13" s="23">
        <v>16649</v>
      </c>
      <c r="J13" s="23">
        <v>13971</v>
      </c>
      <c r="K13" s="23">
        <v>13498</v>
      </c>
      <c r="L13" s="23">
        <v>12600</v>
      </c>
      <c r="M13" s="23">
        <v>11447</v>
      </c>
      <c r="N13" s="23">
        <v>11019</v>
      </c>
      <c r="O13" s="23">
        <v>10709</v>
      </c>
      <c r="P13" s="121"/>
      <c r="Q13" s="121"/>
      <c r="R13" s="121"/>
      <c r="S13" s="121"/>
    </row>
    <row r="14" spans="1:19" x14ac:dyDescent="0.25">
      <c r="A14" s="18" t="s">
        <v>251</v>
      </c>
      <c r="B14" s="23">
        <v>10</v>
      </c>
      <c r="C14" s="24">
        <v>59</v>
      </c>
      <c r="D14" s="23">
        <v>284</v>
      </c>
      <c r="E14" s="23">
        <v>1195</v>
      </c>
      <c r="F14" s="23">
        <v>1126</v>
      </c>
      <c r="G14" s="23">
        <v>0</v>
      </c>
      <c r="H14" s="23">
        <v>0</v>
      </c>
      <c r="I14" s="23">
        <v>0</v>
      </c>
      <c r="J14" s="23">
        <v>0</v>
      </c>
      <c r="K14" s="23">
        <v>0</v>
      </c>
      <c r="L14" s="23">
        <v>0</v>
      </c>
      <c r="M14" s="23">
        <v>0</v>
      </c>
      <c r="N14" s="23">
        <v>0</v>
      </c>
      <c r="O14" s="23">
        <v>0</v>
      </c>
      <c r="P14" s="118"/>
      <c r="Q14" s="118"/>
      <c r="R14" s="118"/>
      <c r="S14" s="118"/>
    </row>
    <row r="15" spans="1:19" x14ac:dyDescent="0.25">
      <c r="A15" s="27" t="s">
        <v>165</v>
      </c>
      <c r="B15" s="28">
        <f>SUM(B12:B14)</f>
        <v>2575096</v>
      </c>
      <c r="C15" s="29">
        <f>SUM(C12:C14)</f>
        <v>2589878</v>
      </c>
      <c r="D15" s="28">
        <f>SUM(D12:D14)</f>
        <v>10666963</v>
      </c>
      <c r="E15" s="28">
        <f t="shared" ref="E15:O15" si="4">SUM(E12:E14)</f>
        <v>10659935</v>
      </c>
      <c r="F15" s="28">
        <f t="shared" si="4"/>
        <v>10562906</v>
      </c>
      <c r="G15" s="28">
        <f t="shared" si="4"/>
        <v>10335949</v>
      </c>
      <c r="H15" s="28">
        <f t="shared" si="4"/>
        <v>9360065</v>
      </c>
      <c r="I15" s="28">
        <f t="shared" si="4"/>
        <v>9138189</v>
      </c>
      <c r="J15" s="28">
        <f t="shared" si="4"/>
        <v>8641432</v>
      </c>
      <c r="K15" s="28">
        <f t="shared" si="4"/>
        <v>8210671</v>
      </c>
      <c r="L15" s="28">
        <f t="shared" si="4"/>
        <v>7764226</v>
      </c>
      <c r="M15" s="28">
        <f t="shared" si="4"/>
        <v>7094685</v>
      </c>
      <c r="N15" s="28">
        <f t="shared" si="4"/>
        <v>6294737</v>
      </c>
      <c r="O15" s="28">
        <f t="shared" si="4"/>
        <v>5897251</v>
      </c>
      <c r="P15" s="28">
        <v>5791729</v>
      </c>
      <c r="Q15" s="28">
        <v>5415363</v>
      </c>
      <c r="R15" s="28">
        <v>5130181</v>
      </c>
      <c r="S15" s="28">
        <v>4798756</v>
      </c>
    </row>
    <row r="16" spans="1:19" x14ac:dyDescent="0.25">
      <c r="A16" s="18" t="s">
        <v>247</v>
      </c>
      <c r="B16" s="23"/>
      <c r="C16" s="24"/>
      <c r="D16" s="23"/>
      <c r="E16" s="23"/>
      <c r="F16" s="23"/>
      <c r="G16" s="23"/>
      <c r="H16" s="23"/>
      <c r="I16" s="23"/>
      <c r="J16" s="23"/>
      <c r="K16" s="23"/>
      <c r="L16" s="23"/>
      <c r="M16" s="23"/>
      <c r="N16" s="23"/>
      <c r="O16" s="23"/>
      <c r="P16" s="23"/>
      <c r="Q16" s="23"/>
      <c r="R16" s="23"/>
      <c r="S16" s="23"/>
    </row>
    <row r="17" spans="1:19" x14ac:dyDescent="0.25">
      <c r="A17" s="18" t="s">
        <v>248</v>
      </c>
      <c r="B17" s="23"/>
      <c r="C17" s="24"/>
      <c r="D17" s="23"/>
      <c r="E17" s="23"/>
      <c r="F17" s="23"/>
      <c r="G17" s="23"/>
      <c r="H17" s="23"/>
      <c r="I17" s="23"/>
      <c r="J17" s="23"/>
      <c r="K17" s="23"/>
      <c r="L17" s="23"/>
      <c r="M17" s="23"/>
      <c r="N17" s="23"/>
      <c r="O17" s="23"/>
      <c r="P17" s="23"/>
      <c r="Q17" s="23"/>
      <c r="R17" s="23"/>
      <c r="S17" s="23"/>
    </row>
    <row r="18" spans="1:19" x14ac:dyDescent="0.25">
      <c r="A18" s="18" t="s">
        <v>169</v>
      </c>
      <c r="B18" s="23">
        <v>0</v>
      </c>
      <c r="C18" s="24">
        <v>0</v>
      </c>
      <c r="D18" s="23">
        <v>0</v>
      </c>
      <c r="E18" s="23">
        <v>0</v>
      </c>
      <c r="F18" s="23">
        <v>0</v>
      </c>
      <c r="G18" s="23">
        <v>0</v>
      </c>
      <c r="H18" s="23">
        <v>0</v>
      </c>
      <c r="I18" s="23">
        <v>3430576</v>
      </c>
      <c r="J18" s="23">
        <v>3436705</v>
      </c>
      <c r="K18" s="23">
        <v>3190903</v>
      </c>
      <c r="L18" s="23">
        <v>2919964</v>
      </c>
      <c r="M18" s="23">
        <v>419431</v>
      </c>
      <c r="N18" s="117"/>
      <c r="O18" s="117"/>
      <c r="P18" s="117"/>
      <c r="Q18" s="117"/>
      <c r="R18" s="117"/>
      <c r="S18" s="117"/>
    </row>
    <row r="19" spans="1:19" x14ac:dyDescent="0.25">
      <c r="A19" s="18" t="s">
        <v>170</v>
      </c>
      <c r="B19" s="23">
        <v>0</v>
      </c>
      <c r="C19" s="24">
        <v>0</v>
      </c>
      <c r="D19" s="23">
        <v>0</v>
      </c>
      <c r="E19" s="23">
        <v>0</v>
      </c>
      <c r="F19" s="23">
        <v>0</v>
      </c>
      <c r="G19" s="23">
        <v>0</v>
      </c>
      <c r="H19" s="23">
        <v>0</v>
      </c>
      <c r="I19" s="23">
        <v>621583</v>
      </c>
      <c r="J19" s="23">
        <v>317950</v>
      </c>
      <c r="K19" s="23">
        <v>219306</v>
      </c>
      <c r="L19" s="23">
        <v>220251</v>
      </c>
      <c r="M19" s="23">
        <v>34407</v>
      </c>
      <c r="N19" s="117"/>
      <c r="O19" s="117"/>
      <c r="P19" s="117"/>
      <c r="Q19" s="117"/>
      <c r="R19" s="117"/>
      <c r="S19" s="117"/>
    </row>
    <row r="20" spans="1:19" x14ac:dyDescent="0.25">
      <c r="A20" s="18" t="s">
        <v>171</v>
      </c>
      <c r="B20" s="23">
        <v>0</v>
      </c>
      <c r="C20" s="24">
        <v>0</v>
      </c>
      <c r="D20" s="23">
        <v>0</v>
      </c>
      <c r="E20" s="23">
        <v>0</v>
      </c>
      <c r="F20" s="23">
        <v>0</v>
      </c>
      <c r="G20" s="23">
        <v>0</v>
      </c>
      <c r="H20" s="23">
        <v>0</v>
      </c>
      <c r="I20" s="23">
        <v>61040</v>
      </c>
      <c r="J20" s="23">
        <v>82470</v>
      </c>
      <c r="K20" s="23">
        <v>91374</v>
      </c>
      <c r="L20" s="23">
        <v>55723</v>
      </c>
      <c r="M20" s="23">
        <v>23552</v>
      </c>
      <c r="N20" s="117"/>
      <c r="O20" s="117"/>
      <c r="P20" s="117"/>
      <c r="Q20" s="117"/>
      <c r="R20" s="117"/>
      <c r="S20" s="117"/>
    </row>
    <row r="21" spans="1:19" x14ac:dyDescent="0.25">
      <c r="A21" s="18" t="s">
        <v>207</v>
      </c>
      <c r="B21" s="23">
        <v>0</v>
      </c>
      <c r="C21" s="24">
        <v>0</v>
      </c>
      <c r="D21" s="23">
        <v>0</v>
      </c>
      <c r="E21" s="23">
        <v>0</v>
      </c>
      <c r="F21" s="23">
        <v>0</v>
      </c>
      <c r="G21" s="23">
        <v>0</v>
      </c>
      <c r="H21" s="23">
        <v>0</v>
      </c>
      <c r="I21" s="23">
        <v>215</v>
      </c>
      <c r="J21" s="23">
        <v>136</v>
      </c>
      <c r="K21" s="23">
        <v>716</v>
      </c>
      <c r="L21" s="23">
        <v>250</v>
      </c>
      <c r="M21" s="23">
        <v>0</v>
      </c>
      <c r="N21" s="118"/>
      <c r="O21" s="118"/>
      <c r="P21" s="118"/>
      <c r="Q21" s="118"/>
      <c r="R21" s="118"/>
      <c r="S21" s="118"/>
    </row>
    <row r="22" spans="1:19" x14ac:dyDescent="0.25">
      <c r="A22" s="27" t="s">
        <v>249</v>
      </c>
      <c r="B22" s="28">
        <f>SUM(B18:B21)</f>
        <v>0</v>
      </c>
      <c r="C22" s="29">
        <f t="shared" ref="C22:S22" si="5">SUM(C18:C21)</f>
        <v>0</v>
      </c>
      <c r="D22" s="28">
        <f t="shared" ref="D22:I22" si="6">SUM(D18:D21)</f>
        <v>0</v>
      </c>
      <c r="E22" s="28">
        <f t="shared" si="6"/>
        <v>0</v>
      </c>
      <c r="F22" s="28">
        <f t="shared" si="6"/>
        <v>0</v>
      </c>
      <c r="G22" s="28">
        <f t="shared" si="6"/>
        <v>0</v>
      </c>
      <c r="H22" s="28">
        <f t="shared" si="6"/>
        <v>0</v>
      </c>
      <c r="I22" s="28">
        <f t="shared" si="6"/>
        <v>4113414</v>
      </c>
      <c r="J22" s="28">
        <f t="shared" si="5"/>
        <v>3837261</v>
      </c>
      <c r="K22" s="28">
        <f t="shared" si="5"/>
        <v>3502299</v>
      </c>
      <c r="L22" s="28">
        <f t="shared" si="5"/>
        <v>3196188</v>
      </c>
      <c r="M22" s="28">
        <f t="shared" si="5"/>
        <v>477390</v>
      </c>
      <c r="N22" s="28">
        <f t="shared" si="5"/>
        <v>0</v>
      </c>
      <c r="O22" s="28">
        <f t="shared" si="5"/>
        <v>0</v>
      </c>
      <c r="P22" s="28">
        <f t="shared" si="5"/>
        <v>0</v>
      </c>
      <c r="Q22" s="28">
        <f t="shared" si="5"/>
        <v>0</v>
      </c>
      <c r="R22" s="28">
        <f t="shared" si="5"/>
        <v>0</v>
      </c>
      <c r="S22" s="28">
        <f t="shared" si="5"/>
        <v>0</v>
      </c>
    </row>
    <row r="23" spans="1:19" x14ac:dyDescent="0.25">
      <c r="A23" s="18" t="s">
        <v>233</v>
      </c>
      <c r="B23" s="23"/>
      <c r="C23" s="24"/>
      <c r="D23" s="23"/>
      <c r="E23" s="23"/>
      <c r="F23" s="23"/>
      <c r="G23" s="23"/>
      <c r="H23" s="23"/>
      <c r="I23" s="23"/>
      <c r="J23" s="23"/>
      <c r="K23" s="23"/>
      <c r="L23" s="23"/>
      <c r="M23" s="23"/>
      <c r="N23" s="23"/>
      <c r="O23" s="23"/>
      <c r="P23" s="23"/>
      <c r="Q23" s="23"/>
      <c r="R23" s="23"/>
      <c r="S23" s="23"/>
    </row>
    <row r="24" spans="1:19" x14ac:dyDescent="0.25">
      <c r="A24" s="18" t="s">
        <v>172</v>
      </c>
      <c r="B24" s="23">
        <v>169320</v>
      </c>
      <c r="C24" s="24">
        <v>158328</v>
      </c>
      <c r="D24" s="23">
        <v>662409</v>
      </c>
      <c r="E24" s="23">
        <v>550978</v>
      </c>
      <c r="F24" s="23">
        <v>497021</v>
      </c>
      <c r="G24" s="23">
        <v>437275</v>
      </c>
      <c r="H24" s="23">
        <v>323156</v>
      </c>
      <c r="I24" s="23">
        <v>228459</v>
      </c>
      <c r="J24" s="23">
        <v>160484</v>
      </c>
      <c r="K24" s="23">
        <v>122087</v>
      </c>
      <c r="L24" s="23">
        <v>75852</v>
      </c>
      <c r="M24" s="23">
        <v>16824</v>
      </c>
      <c r="N24" s="23">
        <v>7730</v>
      </c>
      <c r="O24" s="23">
        <v>5723</v>
      </c>
      <c r="P24" s="117"/>
      <c r="Q24" s="117"/>
      <c r="R24" s="117"/>
      <c r="S24" s="117"/>
    </row>
    <row r="25" spans="1:19" x14ac:dyDescent="0.25">
      <c r="A25" s="18" t="s">
        <v>173</v>
      </c>
      <c r="B25" s="23">
        <v>0</v>
      </c>
      <c r="C25" s="24">
        <v>0</v>
      </c>
      <c r="D25" s="23">
        <v>0</v>
      </c>
      <c r="E25" s="23">
        <v>0</v>
      </c>
      <c r="F25" s="23">
        <v>0</v>
      </c>
      <c r="G25" s="23">
        <v>0</v>
      </c>
      <c r="H25" s="23">
        <v>0</v>
      </c>
      <c r="I25" s="23">
        <v>88103</v>
      </c>
      <c r="J25" s="23">
        <v>72390</v>
      </c>
      <c r="K25" s="23">
        <v>70385</v>
      </c>
      <c r="L25" s="23">
        <v>67351</v>
      </c>
      <c r="M25" s="23">
        <v>61906</v>
      </c>
      <c r="N25" s="23">
        <v>45133</v>
      </c>
      <c r="O25" s="23">
        <v>0</v>
      </c>
      <c r="P25" s="117"/>
      <c r="Q25" s="117"/>
      <c r="R25" s="117"/>
      <c r="S25" s="117"/>
    </row>
    <row r="26" spans="1:19" x14ac:dyDescent="0.25">
      <c r="A26" s="18" t="s">
        <v>174</v>
      </c>
      <c r="B26" s="23">
        <v>95308</v>
      </c>
      <c r="C26" s="24">
        <v>98798</v>
      </c>
      <c r="D26" s="23">
        <v>380221</v>
      </c>
      <c r="E26" s="23">
        <v>484977</v>
      </c>
      <c r="F26" s="23">
        <v>460877</v>
      </c>
      <c r="G26" s="23">
        <v>724577</v>
      </c>
      <c r="H26" s="23">
        <v>1248588</v>
      </c>
      <c r="I26" s="23">
        <v>1245929</v>
      </c>
      <c r="J26" s="23">
        <v>1123882</v>
      </c>
      <c r="K26" s="23">
        <v>927492</v>
      </c>
      <c r="L26" s="23">
        <v>694763</v>
      </c>
      <c r="M26" s="23">
        <v>553261</v>
      </c>
      <c r="N26" s="23">
        <v>395347</v>
      </c>
      <c r="O26" s="23">
        <v>325936</v>
      </c>
      <c r="P26" s="117"/>
      <c r="Q26" s="117"/>
      <c r="R26" s="117"/>
      <c r="S26" s="117"/>
    </row>
    <row r="27" spans="1:19" x14ac:dyDescent="0.25">
      <c r="A27" s="18" t="s">
        <v>175</v>
      </c>
      <c r="B27" s="23">
        <v>0</v>
      </c>
      <c r="C27" s="24">
        <v>4293</v>
      </c>
      <c r="D27" s="23">
        <v>4294</v>
      </c>
      <c r="E27" s="23">
        <v>16743</v>
      </c>
      <c r="F27" s="23">
        <v>14030</v>
      </c>
      <c r="G27" s="23">
        <v>34236</v>
      </c>
      <c r="H27" s="23">
        <v>24603</v>
      </c>
      <c r="I27" s="23">
        <v>58881</v>
      </c>
      <c r="J27" s="23">
        <v>25674</v>
      </c>
      <c r="K27" s="23">
        <v>19535</v>
      </c>
      <c r="L27" s="23">
        <v>13916</v>
      </c>
      <c r="M27" s="23">
        <v>10481</v>
      </c>
      <c r="N27" s="23">
        <v>5796</v>
      </c>
      <c r="O27" s="23">
        <v>0</v>
      </c>
      <c r="P27" s="118"/>
      <c r="Q27" s="118"/>
      <c r="R27" s="118"/>
      <c r="S27" s="118"/>
    </row>
    <row r="28" spans="1:19" x14ac:dyDescent="0.25">
      <c r="A28" s="27" t="s">
        <v>176</v>
      </c>
      <c r="B28" s="28">
        <f>SUM(B24:B27)</f>
        <v>264628</v>
      </c>
      <c r="C28" s="29">
        <f t="shared" ref="C28:O28" si="7">SUM(C24:C27)</f>
        <v>261419</v>
      </c>
      <c r="D28" s="28">
        <f t="shared" ref="D28:I28" si="8">SUM(D24:D27)</f>
        <v>1046924</v>
      </c>
      <c r="E28" s="28">
        <f t="shared" si="8"/>
        <v>1052698</v>
      </c>
      <c r="F28" s="28">
        <f t="shared" si="8"/>
        <v>971928</v>
      </c>
      <c r="G28" s="28">
        <f t="shared" si="8"/>
        <v>1196088</v>
      </c>
      <c r="H28" s="28">
        <f t="shared" si="8"/>
        <v>1596347</v>
      </c>
      <c r="I28" s="28">
        <f t="shared" si="8"/>
        <v>1621372</v>
      </c>
      <c r="J28" s="28">
        <f t="shared" si="7"/>
        <v>1382430</v>
      </c>
      <c r="K28" s="28">
        <f t="shared" si="7"/>
        <v>1139499</v>
      </c>
      <c r="L28" s="28">
        <f t="shared" si="7"/>
        <v>851882</v>
      </c>
      <c r="M28" s="28">
        <f t="shared" si="7"/>
        <v>642472</v>
      </c>
      <c r="N28" s="28">
        <f t="shared" si="7"/>
        <v>454006</v>
      </c>
      <c r="O28" s="28">
        <f t="shared" si="7"/>
        <v>331659</v>
      </c>
      <c r="P28" s="28">
        <v>317071</v>
      </c>
      <c r="Q28" s="28">
        <v>244810</v>
      </c>
      <c r="R28" s="28">
        <v>133970</v>
      </c>
      <c r="S28" s="28">
        <v>81906</v>
      </c>
    </row>
    <row r="29" spans="1:19" x14ac:dyDescent="0.25">
      <c r="A29" s="18" t="s">
        <v>177</v>
      </c>
      <c r="B29" s="25">
        <f>B28+B22+B15</f>
        <v>2839724</v>
      </c>
      <c r="C29" s="26">
        <f t="shared" ref="C29:S29" si="9">C28+C22+C15</f>
        <v>2851297</v>
      </c>
      <c r="D29" s="25">
        <f t="shared" ref="D29:I29" si="10">D28+D22+D15</f>
        <v>11713887</v>
      </c>
      <c r="E29" s="25">
        <f t="shared" si="10"/>
        <v>11712633</v>
      </c>
      <c r="F29" s="25">
        <f t="shared" si="10"/>
        <v>11534834</v>
      </c>
      <c r="G29" s="25">
        <f t="shared" si="10"/>
        <v>11532037</v>
      </c>
      <c r="H29" s="25">
        <f t="shared" si="10"/>
        <v>10956412</v>
      </c>
      <c r="I29" s="25">
        <f t="shared" si="10"/>
        <v>14872975</v>
      </c>
      <c r="J29" s="25">
        <f t="shared" si="9"/>
        <v>13861123</v>
      </c>
      <c r="K29" s="25">
        <f t="shared" si="9"/>
        <v>12852469</v>
      </c>
      <c r="L29" s="25">
        <f t="shared" si="9"/>
        <v>11812296</v>
      </c>
      <c r="M29" s="25">
        <f t="shared" si="9"/>
        <v>8214547</v>
      </c>
      <c r="N29" s="25">
        <f t="shared" si="9"/>
        <v>6748743</v>
      </c>
      <c r="O29" s="25">
        <f t="shared" si="9"/>
        <v>6228910</v>
      </c>
      <c r="P29" s="25">
        <f t="shared" si="9"/>
        <v>6108800</v>
      </c>
      <c r="Q29" s="25">
        <f t="shared" si="9"/>
        <v>5660173</v>
      </c>
      <c r="R29" s="25">
        <f t="shared" si="9"/>
        <v>5264151</v>
      </c>
      <c r="S29" s="25">
        <f t="shared" si="9"/>
        <v>4880662</v>
      </c>
    </row>
    <row r="30" spans="1:19" x14ac:dyDescent="0.25">
      <c r="A30" s="18" t="s">
        <v>208</v>
      </c>
      <c r="B30" s="23">
        <v>-22169</v>
      </c>
      <c r="C30" s="24">
        <v>-31296</v>
      </c>
      <c r="D30" s="23">
        <v>-95090</v>
      </c>
      <c r="E30" s="23">
        <v>-162029</v>
      </c>
      <c r="F30" s="23">
        <v>-146355</v>
      </c>
      <c r="G30" s="23">
        <v>-127186</v>
      </c>
      <c r="H30" s="23">
        <v>-79778</v>
      </c>
      <c r="I30" s="23">
        <v>-127870</v>
      </c>
      <c r="J30" s="23">
        <v>-79286</v>
      </c>
      <c r="K30" s="23">
        <v>-57363</v>
      </c>
      <c r="L30" s="23">
        <v>-48246</v>
      </c>
      <c r="M30" s="23">
        <v>-28267</v>
      </c>
      <c r="N30" s="23">
        <v>-16937</v>
      </c>
      <c r="O30" s="23">
        <v>-9300</v>
      </c>
      <c r="P30" s="23">
        <v>0</v>
      </c>
      <c r="Q30" s="23">
        <v>0</v>
      </c>
      <c r="R30" s="23">
        <v>0</v>
      </c>
      <c r="S30" s="23">
        <v>0</v>
      </c>
    </row>
    <row r="31" spans="1:19" ht="20" thickBot="1" x14ac:dyDescent="0.3">
      <c r="A31" s="27" t="s">
        <v>178</v>
      </c>
      <c r="B31" s="30">
        <f>SUM(B29:B30)</f>
        <v>2817555</v>
      </c>
      <c r="C31" s="31">
        <f t="shared" ref="C31:S31" si="11">SUM(C29:C30)</f>
        <v>2820001</v>
      </c>
      <c r="D31" s="30">
        <f t="shared" ref="D31:I31" si="12">SUM(D29:D30)</f>
        <v>11618797</v>
      </c>
      <c r="E31" s="30">
        <f t="shared" si="12"/>
        <v>11550604</v>
      </c>
      <c r="F31" s="30">
        <f t="shared" si="12"/>
        <v>11388479</v>
      </c>
      <c r="G31" s="30">
        <f t="shared" si="12"/>
        <v>11404851</v>
      </c>
      <c r="H31" s="30">
        <f t="shared" si="12"/>
        <v>10876634</v>
      </c>
      <c r="I31" s="30">
        <f t="shared" si="12"/>
        <v>14745105</v>
      </c>
      <c r="J31" s="30">
        <f t="shared" si="11"/>
        <v>13781837</v>
      </c>
      <c r="K31" s="30">
        <f t="shared" si="11"/>
        <v>12795106</v>
      </c>
      <c r="L31" s="30">
        <f t="shared" si="11"/>
        <v>11764050</v>
      </c>
      <c r="M31" s="30">
        <f t="shared" si="11"/>
        <v>8186280</v>
      </c>
      <c r="N31" s="30">
        <f t="shared" si="11"/>
        <v>6731806</v>
      </c>
      <c r="O31" s="30">
        <f t="shared" si="11"/>
        <v>6219610</v>
      </c>
      <c r="P31" s="30">
        <f t="shared" si="11"/>
        <v>6108800</v>
      </c>
      <c r="Q31" s="30">
        <f t="shared" si="11"/>
        <v>5660173</v>
      </c>
      <c r="R31" s="30">
        <f t="shared" si="11"/>
        <v>5264151</v>
      </c>
      <c r="S31" s="30">
        <f t="shared" si="11"/>
        <v>4880662</v>
      </c>
    </row>
    <row r="32" spans="1:19" ht="20" thickTop="1" x14ac:dyDescent="0.25">
      <c r="A32" s="27" t="s">
        <v>179</v>
      </c>
      <c r="B32" s="23"/>
      <c r="C32" s="24"/>
      <c r="D32" s="23"/>
      <c r="E32" s="23"/>
      <c r="F32" s="23"/>
      <c r="G32" s="23"/>
      <c r="H32" s="23"/>
      <c r="I32" s="23"/>
      <c r="J32" s="23"/>
      <c r="K32" s="23"/>
      <c r="L32" s="23"/>
      <c r="M32" s="23"/>
      <c r="N32" s="23"/>
      <c r="O32" s="23"/>
      <c r="P32" s="23"/>
      <c r="Q32" s="23"/>
      <c r="R32" s="23"/>
      <c r="S32" s="23"/>
    </row>
    <row r="33" spans="1:19" x14ac:dyDescent="0.25">
      <c r="A33" s="18" t="s">
        <v>180</v>
      </c>
      <c r="B33" s="23">
        <v>406440</v>
      </c>
      <c r="C33" s="24">
        <v>479906</v>
      </c>
      <c r="D33" s="23">
        <v>1974988</v>
      </c>
      <c r="E33" s="23">
        <v>1917604</v>
      </c>
      <c r="F33" s="23">
        <v>1924826</v>
      </c>
      <c r="G33" s="23">
        <v>1709721</v>
      </c>
      <c r="H33" s="23">
        <v>2297198</v>
      </c>
      <c r="I33" s="23">
        <v>1777014</v>
      </c>
      <c r="J33" s="23">
        <v>1259632</v>
      </c>
      <c r="K33" s="23">
        <v>1637626</v>
      </c>
      <c r="L33" s="23">
        <v>1200198</v>
      </c>
      <c r="M33" s="23">
        <v>1378241</v>
      </c>
      <c r="N33" s="23">
        <v>1235869</v>
      </c>
      <c r="O33" s="23">
        <v>1049544</v>
      </c>
      <c r="P33" s="23">
        <v>994477</v>
      </c>
      <c r="Q33" s="23">
        <v>939391</v>
      </c>
      <c r="R33" s="23">
        <v>992812</v>
      </c>
      <c r="S33" s="23">
        <v>828927</v>
      </c>
    </row>
    <row r="34" spans="1:19" x14ac:dyDescent="0.25">
      <c r="A34" s="18" t="s">
        <v>246</v>
      </c>
      <c r="B34" s="23">
        <v>0</v>
      </c>
      <c r="C34" s="24">
        <v>0</v>
      </c>
      <c r="D34" s="23">
        <v>0</v>
      </c>
      <c r="E34" s="23">
        <v>0</v>
      </c>
      <c r="F34" s="23">
        <v>0</v>
      </c>
      <c r="G34" s="23">
        <v>0</v>
      </c>
      <c r="H34" s="23">
        <v>0</v>
      </c>
      <c r="I34" s="23">
        <v>-104233</v>
      </c>
      <c r="J34" s="23">
        <v>33929</v>
      </c>
      <c r="K34" s="23">
        <v>214983</v>
      </c>
      <c r="L34" s="23">
        <v>385253</v>
      </c>
      <c r="M34" s="23">
        <v>66930</v>
      </c>
      <c r="N34" s="23">
        <v>0</v>
      </c>
      <c r="O34" s="23">
        <v>0</v>
      </c>
      <c r="P34" s="23">
        <v>0</v>
      </c>
      <c r="Q34" s="23">
        <v>0</v>
      </c>
      <c r="R34" s="23">
        <v>0</v>
      </c>
      <c r="S34" s="23">
        <v>0</v>
      </c>
    </row>
    <row r="35" spans="1:19" x14ac:dyDescent="0.25">
      <c r="A35" s="18" t="s">
        <v>181</v>
      </c>
      <c r="B35" s="23">
        <v>-32305</v>
      </c>
      <c r="C35" s="24">
        <v>-11860</v>
      </c>
      <c r="D35" s="23">
        <v>-66003</v>
      </c>
      <c r="E35" s="23">
        <v>-76261</v>
      </c>
      <c r="F35" s="23">
        <v>-189174</v>
      </c>
      <c r="G35" s="23">
        <v>-93789</v>
      </c>
      <c r="H35" s="23">
        <v>-439477</v>
      </c>
      <c r="I35" s="23">
        <v>266323</v>
      </c>
      <c r="J35" s="23">
        <v>-103901</v>
      </c>
      <c r="K35" s="23">
        <v>-24456</v>
      </c>
      <c r="L35" s="23">
        <v>-38595</v>
      </c>
      <c r="M35" s="23">
        <v>-64877</v>
      </c>
      <c r="N35" s="23">
        <v>-34105</v>
      </c>
      <c r="O35" s="23">
        <v>-11315</v>
      </c>
      <c r="P35" s="23">
        <v>-12226</v>
      </c>
      <c r="Q35" s="23">
        <v>-29856</v>
      </c>
      <c r="R35" s="23">
        <v>-50969</v>
      </c>
      <c r="S35" s="23">
        <v>-27273</v>
      </c>
    </row>
    <row r="36" spans="1:19" ht="20" thickBot="1" x14ac:dyDescent="0.3">
      <c r="A36" s="27" t="s">
        <v>182</v>
      </c>
      <c r="B36" s="30">
        <f>SUM(B33:B35)</f>
        <v>374135</v>
      </c>
      <c r="C36" s="31">
        <f t="shared" ref="C36:S36" si="13">SUM(C33:C35)</f>
        <v>468046</v>
      </c>
      <c r="D36" s="30">
        <f t="shared" si="13"/>
        <v>1908985</v>
      </c>
      <c r="E36" s="30">
        <f t="shared" si="13"/>
        <v>1841343</v>
      </c>
      <c r="F36" s="30">
        <f t="shared" si="13"/>
        <v>1735652</v>
      </c>
      <c r="G36" s="30">
        <f t="shared" si="13"/>
        <v>1615932</v>
      </c>
      <c r="H36" s="30">
        <f t="shared" si="13"/>
        <v>1857721</v>
      </c>
      <c r="I36" s="30">
        <f t="shared" si="13"/>
        <v>1939104</v>
      </c>
      <c r="J36" s="30">
        <f t="shared" si="13"/>
        <v>1189660</v>
      </c>
      <c r="K36" s="30">
        <f t="shared" si="13"/>
        <v>1828153</v>
      </c>
      <c r="L36" s="30">
        <f t="shared" si="13"/>
        <v>1546856</v>
      </c>
      <c r="M36" s="30">
        <f t="shared" si="13"/>
        <v>1380294</v>
      </c>
      <c r="N36" s="30">
        <f t="shared" si="13"/>
        <v>1201764</v>
      </c>
      <c r="O36" s="30">
        <f t="shared" si="13"/>
        <v>1038229</v>
      </c>
      <c r="P36" s="30">
        <f t="shared" si="13"/>
        <v>982251</v>
      </c>
      <c r="Q36" s="30">
        <f t="shared" si="13"/>
        <v>909535</v>
      </c>
      <c r="R36" s="30">
        <f t="shared" si="13"/>
        <v>941843</v>
      </c>
      <c r="S36" s="30">
        <f t="shared" si="13"/>
        <v>801654</v>
      </c>
    </row>
    <row r="37" spans="1:19" ht="20" thickTop="1" x14ac:dyDescent="0.25">
      <c r="A37" s="27" t="s">
        <v>183</v>
      </c>
      <c r="B37" s="23"/>
      <c r="C37" s="24"/>
      <c r="D37" s="23"/>
      <c r="E37" s="23"/>
      <c r="F37" s="23"/>
      <c r="G37" s="23"/>
      <c r="H37" s="23"/>
      <c r="I37" s="23"/>
      <c r="J37" s="23"/>
      <c r="K37" s="23"/>
      <c r="L37" s="23"/>
      <c r="M37" s="23"/>
      <c r="N37" s="23"/>
      <c r="O37" s="23"/>
      <c r="P37" s="23"/>
      <c r="Q37" s="23"/>
      <c r="R37" s="23"/>
      <c r="S37" s="23"/>
    </row>
    <row r="38" spans="1:19" x14ac:dyDescent="0.25">
      <c r="A38" s="27" t="s">
        <v>245</v>
      </c>
      <c r="B38" s="23"/>
      <c r="C38" s="24"/>
      <c r="D38" s="23"/>
      <c r="E38" s="23"/>
      <c r="F38" s="23"/>
      <c r="G38" s="23"/>
      <c r="H38" s="23"/>
      <c r="I38" s="23"/>
      <c r="J38" s="23"/>
      <c r="K38" s="23"/>
      <c r="L38" s="23"/>
      <c r="M38" s="23"/>
      <c r="N38" s="23"/>
      <c r="O38" s="23"/>
      <c r="P38" s="23"/>
      <c r="Q38" s="23"/>
      <c r="R38" s="23"/>
      <c r="S38" s="23"/>
    </row>
    <row r="39" spans="1:19" x14ac:dyDescent="0.25">
      <c r="A39" s="18" t="s">
        <v>79</v>
      </c>
      <c r="B39" s="23">
        <v>0</v>
      </c>
      <c r="C39" s="24">
        <v>0</v>
      </c>
      <c r="D39" s="23">
        <v>0</v>
      </c>
      <c r="E39" s="23">
        <v>0</v>
      </c>
      <c r="F39" s="23">
        <v>0</v>
      </c>
      <c r="G39" s="23">
        <v>0</v>
      </c>
      <c r="H39" s="23">
        <v>0</v>
      </c>
      <c r="I39" s="23">
        <v>0</v>
      </c>
      <c r="J39" s="23">
        <v>0</v>
      </c>
      <c r="K39" s="23">
        <v>0</v>
      </c>
      <c r="L39" s="23">
        <v>56977</v>
      </c>
      <c r="M39" s="23">
        <v>0</v>
      </c>
      <c r="N39" s="23">
        <v>0</v>
      </c>
      <c r="O39" s="23">
        <v>0</v>
      </c>
      <c r="P39" s="23">
        <v>0</v>
      </c>
      <c r="Q39" s="23">
        <v>0</v>
      </c>
      <c r="R39" s="23">
        <v>0</v>
      </c>
      <c r="S39" s="23">
        <v>0</v>
      </c>
    </row>
    <row r="40" spans="1:19" x14ac:dyDescent="0.25">
      <c r="A40" s="18" t="s">
        <v>195</v>
      </c>
      <c r="B40" s="23">
        <v>-35827</v>
      </c>
      <c r="C40" s="24">
        <f>-25444</f>
        <v>-25444</v>
      </c>
      <c r="D40" s="23">
        <v>-111615</v>
      </c>
      <c r="E40" s="23">
        <v>-146707</v>
      </c>
      <c r="F40" s="23">
        <v>-92335</v>
      </c>
      <c r="G40" s="23">
        <v>-90108</v>
      </c>
      <c r="H40" s="23">
        <v>-44966</v>
      </c>
      <c r="I40" s="23">
        <v>-44561</v>
      </c>
      <c r="J40" s="23">
        <v>-18965</v>
      </c>
      <c r="K40" s="23">
        <v>-13012</v>
      </c>
      <c r="L40" s="23">
        <v>-53699</v>
      </c>
      <c r="M40" s="23">
        <v>-52457</v>
      </c>
      <c r="N40" s="23">
        <v>-47051</v>
      </c>
      <c r="O40" s="23">
        <v>-44421</v>
      </c>
      <c r="P40" s="23">
        <f>-44422+2442</f>
        <v>-41980</v>
      </c>
      <c r="Q40" s="23">
        <f>-41235+796</f>
        <v>-40439</v>
      </c>
      <c r="R40" s="23">
        <f>-34149-45485</f>
        <v>-79634</v>
      </c>
      <c r="S40" s="23">
        <f>-26389-35833</f>
        <v>-62222</v>
      </c>
    </row>
    <row r="41" spans="1:19" x14ac:dyDescent="0.25">
      <c r="A41" s="18" t="s">
        <v>193</v>
      </c>
      <c r="B41" s="23">
        <v>0</v>
      </c>
      <c r="C41" s="24">
        <v>0</v>
      </c>
      <c r="D41" s="23">
        <v>0</v>
      </c>
      <c r="E41" s="23">
        <v>0</v>
      </c>
      <c r="F41" s="23">
        <v>0</v>
      </c>
      <c r="G41" s="23">
        <v>0</v>
      </c>
      <c r="H41" s="23">
        <v>0</v>
      </c>
      <c r="I41" s="23">
        <v>0</v>
      </c>
      <c r="J41" s="23">
        <v>0</v>
      </c>
      <c r="K41" s="23">
        <v>0</v>
      </c>
      <c r="L41" s="23">
        <v>0</v>
      </c>
      <c r="M41" s="23">
        <v>-30753</v>
      </c>
      <c r="N41" s="23">
        <v>0</v>
      </c>
      <c r="O41" s="23">
        <v>0</v>
      </c>
      <c r="P41" s="23">
        <v>0</v>
      </c>
      <c r="Q41" s="23">
        <v>0</v>
      </c>
      <c r="R41" s="23">
        <v>0</v>
      </c>
      <c r="S41" s="23">
        <v>0</v>
      </c>
    </row>
    <row r="42" spans="1:19" x14ac:dyDescent="0.25">
      <c r="A42" s="18" t="s">
        <v>184</v>
      </c>
      <c r="B42" s="25">
        <f>SUM(B36:B41)</f>
        <v>338308</v>
      </c>
      <c r="C42" s="26">
        <f>SUM(C36:C41)</f>
        <v>442602</v>
      </c>
      <c r="D42" s="25">
        <f t="shared" ref="D42:I42" si="14">SUM(D36:D41)</f>
        <v>1797370</v>
      </c>
      <c r="E42" s="25">
        <f t="shared" si="14"/>
        <v>1694636</v>
      </c>
      <c r="F42" s="25">
        <f t="shared" si="14"/>
        <v>1643317</v>
      </c>
      <c r="G42" s="25">
        <f t="shared" si="14"/>
        <v>1525824</v>
      </c>
      <c r="H42" s="25">
        <f t="shared" si="14"/>
        <v>1812755</v>
      </c>
      <c r="I42" s="25">
        <f t="shared" si="14"/>
        <v>1894543</v>
      </c>
      <c r="J42" s="25">
        <f>SUM(J36:J41)</f>
        <v>1170695</v>
      </c>
      <c r="K42" s="25">
        <f t="shared" ref="K42:S42" si="15">SUM(K36:K41)</f>
        <v>1815141</v>
      </c>
      <c r="L42" s="25">
        <f t="shared" si="15"/>
        <v>1550134</v>
      </c>
      <c r="M42" s="25">
        <f t="shared" si="15"/>
        <v>1297084</v>
      </c>
      <c r="N42" s="25">
        <f t="shared" si="15"/>
        <v>1154713</v>
      </c>
      <c r="O42" s="25">
        <f t="shared" si="15"/>
        <v>993808</v>
      </c>
      <c r="P42" s="25">
        <f t="shared" si="15"/>
        <v>940271</v>
      </c>
      <c r="Q42" s="25">
        <f t="shared" si="15"/>
        <v>869096</v>
      </c>
      <c r="R42" s="25">
        <f t="shared" si="15"/>
        <v>862209</v>
      </c>
      <c r="S42" s="25">
        <f t="shared" si="15"/>
        <v>739432</v>
      </c>
    </row>
    <row r="43" spans="1:19" x14ac:dyDescent="0.25">
      <c r="A43" s="18" t="s">
        <v>185</v>
      </c>
      <c r="B43" s="23">
        <v>-73791</v>
      </c>
      <c r="C43" s="24">
        <v>-67014</v>
      </c>
      <c r="D43" s="23">
        <v>-285254</v>
      </c>
      <c r="E43" s="23">
        <v>-304111</v>
      </c>
      <c r="F43" s="23">
        <v>-443824</v>
      </c>
      <c r="G43" s="23">
        <v>-487435</v>
      </c>
      <c r="H43" s="23">
        <v>-430634</v>
      </c>
      <c r="I43" s="23">
        <v>-414382</v>
      </c>
      <c r="J43" s="23">
        <v>-408380</v>
      </c>
      <c r="K43" s="23">
        <v>-410294</v>
      </c>
      <c r="L43" s="23">
        <v>-429943</v>
      </c>
      <c r="M43" s="23">
        <v>-288554</v>
      </c>
      <c r="N43" s="23">
        <v>-241090</v>
      </c>
      <c r="O43" s="23">
        <v>-181607</v>
      </c>
      <c r="P43" s="23">
        <v>-185755</v>
      </c>
      <c r="Q43" s="23">
        <v>-224716</v>
      </c>
      <c r="R43" s="23">
        <v>-257147</v>
      </c>
      <c r="S43" s="23">
        <v>-276706</v>
      </c>
    </row>
    <row r="44" spans="1:19" x14ac:dyDescent="0.25">
      <c r="A44" s="18" t="s">
        <v>186</v>
      </c>
      <c r="B44" s="23">
        <v>0</v>
      </c>
      <c r="C44" s="24">
        <v>0</v>
      </c>
      <c r="D44" s="23">
        <v>0</v>
      </c>
      <c r="E44" s="23">
        <v>-89022</v>
      </c>
      <c r="F44" s="23">
        <v>-33402</v>
      </c>
      <c r="G44" s="23">
        <v>0</v>
      </c>
      <c r="H44" s="23">
        <v>0</v>
      </c>
      <c r="I44" s="23">
        <v>0</v>
      </c>
      <c r="J44" s="23">
        <v>-48072</v>
      </c>
      <c r="K44" s="23">
        <v>-97548</v>
      </c>
      <c r="L44" s="23">
        <v>0</v>
      </c>
      <c r="M44" s="23">
        <v>-10963</v>
      </c>
      <c r="N44" s="23">
        <v>0</v>
      </c>
      <c r="O44" s="23">
        <v>-74382</v>
      </c>
      <c r="P44" s="23">
        <v>0</v>
      </c>
      <c r="Q44" s="23">
        <v>0</v>
      </c>
      <c r="R44" s="23">
        <v>0</v>
      </c>
      <c r="S44" s="23">
        <v>0</v>
      </c>
    </row>
    <row r="45" spans="1:19" x14ac:dyDescent="0.25">
      <c r="A45" s="18" t="s">
        <v>187</v>
      </c>
      <c r="B45" s="23">
        <v>-1786</v>
      </c>
      <c r="C45" s="24">
        <v>1168</v>
      </c>
      <c r="D45" s="23">
        <v>6378</v>
      </c>
      <c r="E45" s="23">
        <v>16759</v>
      </c>
      <c r="F45" s="23">
        <v>29348</v>
      </c>
      <c r="G45" s="23">
        <v>10089</v>
      </c>
      <c r="H45" s="23">
        <v>17665</v>
      </c>
      <c r="I45" s="23">
        <v>8734</v>
      </c>
      <c r="J45" s="23">
        <v>8893</v>
      </c>
      <c r="K45" s="23">
        <v>2374</v>
      </c>
      <c r="L45" s="23">
        <v>4787</v>
      </c>
      <c r="M45" s="23">
        <v>3737</v>
      </c>
      <c r="N45" s="23">
        <v>2982</v>
      </c>
      <c r="O45" s="23">
        <v>3419</v>
      </c>
      <c r="P45" s="23">
        <v>3708</v>
      </c>
      <c r="Q45" s="23">
        <v>12411</v>
      </c>
      <c r="R45" s="23">
        <v>22460</v>
      </c>
      <c r="S45" s="23">
        <v>13033</v>
      </c>
    </row>
    <row r="46" spans="1:19" ht="20" thickBot="1" x14ac:dyDescent="0.3">
      <c r="A46" s="27" t="s">
        <v>188</v>
      </c>
      <c r="B46" s="30">
        <f>SUM(B42:B45)</f>
        <v>262731</v>
      </c>
      <c r="C46" s="31">
        <f t="shared" ref="C46:S46" si="16">SUM(C42:C45)</f>
        <v>376756</v>
      </c>
      <c r="D46" s="30">
        <f t="shared" ref="D46:I46" si="17">SUM(D42:D45)</f>
        <v>1518494</v>
      </c>
      <c r="E46" s="30">
        <f t="shared" si="17"/>
        <v>1318262</v>
      </c>
      <c r="F46" s="30">
        <f t="shared" si="17"/>
        <v>1195439</v>
      </c>
      <c r="G46" s="30">
        <f t="shared" si="17"/>
        <v>1048478</v>
      </c>
      <c r="H46" s="30">
        <f t="shared" si="17"/>
        <v>1399786</v>
      </c>
      <c r="I46" s="30">
        <f t="shared" si="17"/>
        <v>1488895</v>
      </c>
      <c r="J46" s="30">
        <f t="shared" si="16"/>
        <v>723136</v>
      </c>
      <c r="K46" s="30">
        <f t="shared" si="16"/>
        <v>1309673</v>
      </c>
      <c r="L46" s="30">
        <f t="shared" si="16"/>
        <v>1124978</v>
      </c>
      <c r="M46" s="30">
        <f t="shared" si="16"/>
        <v>1001304</v>
      </c>
      <c r="N46" s="30">
        <f t="shared" si="16"/>
        <v>916605</v>
      </c>
      <c r="O46" s="30">
        <f t="shared" si="16"/>
        <v>741238</v>
      </c>
      <c r="P46" s="30">
        <f t="shared" si="16"/>
        <v>758224</v>
      </c>
      <c r="Q46" s="30">
        <f t="shared" si="16"/>
        <v>656791</v>
      </c>
      <c r="R46" s="30">
        <f t="shared" si="16"/>
        <v>627522</v>
      </c>
      <c r="S46" s="30">
        <f t="shared" si="16"/>
        <v>475759</v>
      </c>
    </row>
    <row r="47" spans="1:19" ht="20" thickTop="1" x14ac:dyDescent="0.25">
      <c r="B47" s="23"/>
      <c r="C47" s="46"/>
      <c r="D47" s="23"/>
      <c r="E47" s="23"/>
      <c r="F47" s="23"/>
      <c r="G47" s="23"/>
      <c r="H47" s="23"/>
      <c r="I47" s="23"/>
      <c r="J47" s="23"/>
      <c r="K47" s="23"/>
      <c r="L47" s="23"/>
      <c r="M47" s="23"/>
      <c r="N47" s="23"/>
      <c r="O47" s="23"/>
      <c r="P47" s="23"/>
      <c r="Q47" s="23"/>
      <c r="R47" s="23"/>
      <c r="S47" s="23"/>
    </row>
    <row r="48" spans="1:19" x14ac:dyDescent="0.25">
      <c r="A48" s="27" t="s">
        <v>189</v>
      </c>
      <c r="B48" s="23"/>
      <c r="C48" s="24"/>
      <c r="D48" s="23"/>
      <c r="E48" s="23"/>
      <c r="F48" s="23"/>
      <c r="G48" s="23"/>
      <c r="H48" s="23"/>
      <c r="I48" s="23"/>
      <c r="J48" s="23"/>
      <c r="K48" s="23"/>
      <c r="L48" s="23"/>
      <c r="M48" s="23"/>
      <c r="N48" s="23"/>
      <c r="O48" s="23"/>
      <c r="P48" s="23"/>
      <c r="Q48" s="23"/>
      <c r="R48" s="23"/>
      <c r="S48" s="23"/>
    </row>
    <row r="49" spans="1:19" x14ac:dyDescent="0.25">
      <c r="A49" s="18" t="s">
        <v>190</v>
      </c>
      <c r="B49" s="34">
        <f t="shared" ref="B49:S49" si="18">B33/B15</f>
        <v>0.1578348923690612</v>
      </c>
      <c r="C49" s="35">
        <f t="shared" si="18"/>
        <v>0.18530062033810088</v>
      </c>
      <c r="D49" s="34">
        <f>D33/D15</f>
        <v>0.18514998130208196</v>
      </c>
      <c r="E49" s="34">
        <f t="shared" ref="E49:I49" si="19">E33/E15</f>
        <v>0.17988890176159611</v>
      </c>
      <c r="F49" s="34">
        <f t="shared" si="19"/>
        <v>0.18222504299479708</v>
      </c>
      <c r="G49" s="34">
        <f t="shared" si="19"/>
        <v>0.16541499962896489</v>
      </c>
      <c r="H49" s="34">
        <f t="shared" si="19"/>
        <v>0.24542543240885614</v>
      </c>
      <c r="I49" s="34">
        <f t="shared" si="19"/>
        <v>0.19446019337091847</v>
      </c>
      <c r="J49" s="34">
        <f t="shared" si="18"/>
        <v>0.14576658127958422</v>
      </c>
      <c r="K49" s="34">
        <f t="shared" si="18"/>
        <v>0.19945093403450218</v>
      </c>
      <c r="L49" s="34">
        <f t="shared" si="18"/>
        <v>0.15458050808928026</v>
      </c>
      <c r="M49" s="34">
        <f t="shared" si="18"/>
        <v>0.19426387499938333</v>
      </c>
      <c r="N49" s="34">
        <f t="shared" si="18"/>
        <v>0.19633369908861958</v>
      </c>
      <c r="O49" s="34">
        <f t="shared" si="18"/>
        <v>0.17797173632256791</v>
      </c>
      <c r="P49" s="34">
        <f t="shared" si="18"/>
        <v>0.17170641098711628</v>
      </c>
      <c r="Q49" s="34">
        <f t="shared" si="18"/>
        <v>0.17346778046088507</v>
      </c>
      <c r="R49" s="34">
        <f t="shared" si="18"/>
        <v>0.1935237762566272</v>
      </c>
      <c r="S49" s="34">
        <f t="shared" si="18"/>
        <v>0.17273789290391092</v>
      </c>
    </row>
    <row r="50" spans="1:19" x14ac:dyDescent="0.25">
      <c r="A50" s="18" t="s">
        <v>250</v>
      </c>
      <c r="B50" s="34" t="s">
        <v>194</v>
      </c>
      <c r="C50" s="35" t="s">
        <v>194</v>
      </c>
      <c r="D50" s="34" t="s">
        <v>194</v>
      </c>
      <c r="E50" s="34" t="s">
        <v>194</v>
      </c>
      <c r="F50" s="34" t="s">
        <v>194</v>
      </c>
      <c r="G50" s="34" t="s">
        <v>194</v>
      </c>
      <c r="H50" s="34" t="s">
        <v>194</v>
      </c>
      <c r="I50" s="34">
        <f t="shared" ref="I50" si="20">I34/I22</f>
        <v>-2.5339778587810516E-2</v>
      </c>
      <c r="J50" s="34">
        <f t="shared" ref="J50:M50" si="21">J34/J22</f>
        <v>8.8419839046653334E-3</v>
      </c>
      <c r="K50" s="34">
        <f t="shared" si="21"/>
        <v>6.1383394164804317E-2</v>
      </c>
      <c r="L50" s="34">
        <f t="shared" si="21"/>
        <v>0.12053514999743445</v>
      </c>
      <c r="M50" s="34">
        <f t="shared" si="21"/>
        <v>0.14019983661157545</v>
      </c>
      <c r="N50" s="116" t="s">
        <v>194</v>
      </c>
      <c r="O50" s="116"/>
      <c r="P50" s="116"/>
      <c r="Q50" s="116"/>
      <c r="R50" s="116"/>
      <c r="S50" s="116"/>
    </row>
    <row r="51" spans="1:19" x14ac:dyDescent="0.25">
      <c r="A51" s="18" t="s">
        <v>191</v>
      </c>
      <c r="B51" s="34">
        <f t="shared" ref="B51:S51" si="22">B35/B28</f>
        <v>-0.12207702888583219</v>
      </c>
      <c r="C51" s="35">
        <f t="shared" si="22"/>
        <v>-4.5367781224777082E-2</v>
      </c>
      <c r="D51" s="34">
        <f t="shared" ref="D51:I51" si="23">D35/D28</f>
        <v>-6.3044690923123356E-2</v>
      </c>
      <c r="E51" s="34">
        <f t="shared" si="23"/>
        <v>-7.2443378822796278E-2</v>
      </c>
      <c r="F51" s="34">
        <f t="shared" si="23"/>
        <v>-0.19463787441045016</v>
      </c>
      <c r="G51" s="34">
        <f t="shared" si="23"/>
        <v>-7.8413126793346305E-2</v>
      </c>
      <c r="H51" s="34">
        <f t="shared" si="23"/>
        <v>-0.27530167313247056</v>
      </c>
      <c r="I51" s="34">
        <f t="shared" si="23"/>
        <v>0.16425780141756488</v>
      </c>
      <c r="J51" s="34">
        <f t="shared" si="22"/>
        <v>-7.515823586004354E-2</v>
      </c>
      <c r="K51" s="34">
        <f t="shared" si="22"/>
        <v>-2.1462063591104513E-2</v>
      </c>
      <c r="L51" s="34">
        <f t="shared" si="22"/>
        <v>-4.530557048980962E-2</v>
      </c>
      <c r="M51" s="34">
        <f t="shared" si="22"/>
        <v>-0.10098027618324222</v>
      </c>
      <c r="N51" s="34">
        <f t="shared" si="22"/>
        <v>-7.5120152597102238E-2</v>
      </c>
      <c r="O51" s="34">
        <f t="shared" si="22"/>
        <v>-3.411636650897458E-2</v>
      </c>
      <c r="P51" s="34">
        <f t="shared" si="22"/>
        <v>-3.8559187059049864E-2</v>
      </c>
      <c r="Q51" s="34">
        <f t="shared" si="22"/>
        <v>-0.12195580245904987</v>
      </c>
      <c r="R51" s="34">
        <f t="shared" si="22"/>
        <v>-0.38045084720459804</v>
      </c>
      <c r="S51" s="34">
        <f t="shared" si="22"/>
        <v>-0.33297926891802798</v>
      </c>
    </row>
    <row r="52" spans="1:19" x14ac:dyDescent="0.25">
      <c r="A52" s="18" t="s">
        <v>192</v>
      </c>
      <c r="B52" s="34">
        <f t="shared" ref="B52:S52" si="24">B36/B31</f>
        <v>0.13278711506962598</v>
      </c>
      <c r="C52" s="35">
        <f t="shared" si="24"/>
        <v>0.16597370000932624</v>
      </c>
      <c r="D52" s="34">
        <f t="shared" ref="D52:I52" si="25">D36/D31</f>
        <v>0.16430143327230864</v>
      </c>
      <c r="E52" s="34">
        <f t="shared" si="25"/>
        <v>0.15941529984059707</v>
      </c>
      <c r="F52" s="34">
        <f t="shared" si="25"/>
        <v>0.15240419725935306</v>
      </c>
      <c r="G52" s="34">
        <f>G36/G31</f>
        <v>0.14168812902509642</v>
      </c>
      <c r="H52" s="34">
        <f t="shared" si="25"/>
        <v>0.17079925646114413</v>
      </c>
      <c r="I52" s="34">
        <f t="shared" si="25"/>
        <v>0.13150832089700276</v>
      </c>
      <c r="J52" s="34">
        <f t="shared" si="24"/>
        <v>8.6320858387746127E-2</v>
      </c>
      <c r="K52" s="34">
        <f t="shared" si="24"/>
        <v>0.14287908204902719</v>
      </c>
      <c r="L52" s="34">
        <f t="shared" si="24"/>
        <v>0.13149009057254943</v>
      </c>
      <c r="M52" s="34">
        <f t="shared" si="24"/>
        <v>0.16861065099165923</v>
      </c>
      <c r="N52" s="34">
        <f t="shared" si="24"/>
        <v>0.17852029603942834</v>
      </c>
      <c r="O52" s="34">
        <f t="shared" si="24"/>
        <v>0.16692831222536461</v>
      </c>
      <c r="P52" s="34">
        <f t="shared" si="24"/>
        <v>0.16079279072812991</v>
      </c>
      <c r="Q52" s="34">
        <f t="shared" si="24"/>
        <v>0.16069031812278528</v>
      </c>
      <c r="R52" s="34">
        <f t="shared" si="24"/>
        <v>0.17891641026254756</v>
      </c>
      <c r="S52" s="34">
        <f t="shared" si="24"/>
        <v>0.16425107905443975</v>
      </c>
    </row>
    <row r="53" spans="1:19" x14ac:dyDescent="0.25">
      <c r="B53" s="23"/>
      <c r="C53" s="24"/>
      <c r="D53" s="23"/>
      <c r="E53" s="23"/>
      <c r="F53" s="23"/>
      <c r="G53" s="23"/>
      <c r="H53" s="23"/>
      <c r="I53" s="23"/>
      <c r="J53" s="23"/>
      <c r="K53" s="23"/>
      <c r="L53" s="23"/>
      <c r="M53" s="23"/>
      <c r="N53" s="23"/>
      <c r="O53" s="23"/>
      <c r="P53" s="23"/>
      <c r="Q53" s="23"/>
      <c r="R53" s="23"/>
      <c r="S53" s="23"/>
    </row>
    <row r="54" spans="1:19" x14ac:dyDescent="0.25">
      <c r="B54" s="23"/>
      <c r="C54" s="24"/>
      <c r="D54" s="23"/>
      <c r="E54" s="23"/>
      <c r="F54" s="23"/>
      <c r="G54" s="23"/>
      <c r="H54" s="23"/>
      <c r="I54" s="23"/>
      <c r="J54" s="23"/>
      <c r="K54" s="23"/>
      <c r="L54" s="23"/>
      <c r="M54" s="23"/>
      <c r="N54" s="23"/>
      <c r="O54" s="23"/>
      <c r="P54" s="23"/>
      <c r="Q54" s="23"/>
      <c r="R54" s="23"/>
      <c r="S54" s="23"/>
    </row>
    <row r="55" spans="1:19" x14ac:dyDescent="0.25">
      <c r="A55" s="27" t="s">
        <v>197</v>
      </c>
      <c r="B55" s="23"/>
      <c r="C55" s="24"/>
      <c r="D55" s="23"/>
      <c r="E55" s="23"/>
      <c r="F55" s="23"/>
      <c r="G55" s="23"/>
      <c r="H55" s="23"/>
      <c r="I55" s="23"/>
      <c r="J55" s="23"/>
      <c r="K55" s="23"/>
      <c r="L55" s="23"/>
      <c r="M55" s="23"/>
      <c r="N55" s="23"/>
      <c r="O55" s="23"/>
      <c r="P55" s="23"/>
      <c r="Q55" s="23"/>
      <c r="R55" s="23"/>
      <c r="S55" s="23"/>
    </row>
    <row r="56" spans="1:19" x14ac:dyDescent="0.25">
      <c r="A56" s="27" t="s">
        <v>198</v>
      </c>
      <c r="B56" s="23"/>
      <c r="C56" s="24"/>
      <c r="D56" s="23"/>
      <c r="E56" s="23"/>
      <c r="F56" s="23"/>
      <c r="G56" s="23"/>
      <c r="H56" s="23"/>
      <c r="I56" s="23"/>
      <c r="J56" s="23"/>
      <c r="K56" s="23"/>
      <c r="L56" s="23"/>
      <c r="M56" s="23"/>
      <c r="N56" s="23"/>
      <c r="O56" s="23"/>
      <c r="P56" s="23"/>
      <c r="Q56" s="23"/>
      <c r="R56" s="23"/>
      <c r="S56" s="23"/>
    </row>
    <row r="57" spans="1:19" x14ac:dyDescent="0.25">
      <c r="A57" s="18" t="s">
        <v>199</v>
      </c>
      <c r="B57" s="23">
        <f>B15</f>
        <v>2575096</v>
      </c>
      <c r="C57" s="24">
        <f t="shared" ref="C57:S57" si="26">C15</f>
        <v>2589878</v>
      </c>
      <c r="D57" s="23">
        <f>D15</f>
        <v>10666963</v>
      </c>
      <c r="E57" s="23">
        <f t="shared" ref="E57:I57" si="27">E15</f>
        <v>10659935</v>
      </c>
      <c r="F57" s="23">
        <f t="shared" si="27"/>
        <v>10562906</v>
      </c>
      <c r="G57" s="23">
        <f t="shared" si="27"/>
        <v>10335949</v>
      </c>
      <c r="H57" s="23">
        <f t="shared" si="27"/>
        <v>9360065</v>
      </c>
      <c r="I57" s="23">
        <f t="shared" si="27"/>
        <v>9138189</v>
      </c>
      <c r="J57" s="23">
        <f t="shared" si="26"/>
        <v>8641432</v>
      </c>
      <c r="K57" s="23">
        <f t="shared" si="26"/>
        <v>8210671</v>
      </c>
      <c r="L57" s="23">
        <f t="shared" si="26"/>
        <v>7764226</v>
      </c>
      <c r="M57" s="23">
        <f t="shared" si="26"/>
        <v>7094685</v>
      </c>
      <c r="N57" s="23">
        <f t="shared" si="26"/>
        <v>6294737</v>
      </c>
      <c r="O57" s="23">
        <f t="shared" si="26"/>
        <v>5897251</v>
      </c>
      <c r="P57" s="23">
        <f t="shared" si="26"/>
        <v>5791729</v>
      </c>
      <c r="Q57" s="23">
        <f t="shared" si="26"/>
        <v>5415363</v>
      </c>
      <c r="R57" s="23">
        <f t="shared" si="26"/>
        <v>5130181</v>
      </c>
      <c r="S57" s="23">
        <f t="shared" si="26"/>
        <v>4798756</v>
      </c>
    </row>
    <row r="58" spans="1:19" x14ac:dyDescent="0.25">
      <c r="A58" s="18" t="s">
        <v>200</v>
      </c>
      <c r="B58" s="23">
        <f>B33</f>
        <v>406440</v>
      </c>
      <c r="C58" s="24">
        <f t="shared" ref="C58:S58" si="28">C33</f>
        <v>479906</v>
      </c>
      <c r="D58" s="23">
        <f t="shared" ref="D58:I58" si="29">D33</f>
        <v>1974988</v>
      </c>
      <c r="E58" s="23">
        <f t="shared" si="29"/>
        <v>1917604</v>
      </c>
      <c r="F58" s="23">
        <f t="shared" si="29"/>
        <v>1924826</v>
      </c>
      <c r="G58" s="23">
        <f t="shared" si="29"/>
        <v>1709721</v>
      </c>
      <c r="H58" s="23">
        <f t="shared" si="29"/>
        <v>2297198</v>
      </c>
      <c r="I58" s="23">
        <f t="shared" si="29"/>
        <v>1777014</v>
      </c>
      <c r="J58" s="23">
        <f t="shared" si="28"/>
        <v>1259632</v>
      </c>
      <c r="K58" s="23">
        <f t="shared" si="28"/>
        <v>1637626</v>
      </c>
      <c r="L58" s="23">
        <f t="shared" si="28"/>
        <v>1200198</v>
      </c>
      <c r="M58" s="23">
        <f t="shared" si="28"/>
        <v>1378241</v>
      </c>
      <c r="N58" s="23">
        <f t="shared" si="28"/>
        <v>1235869</v>
      </c>
      <c r="O58" s="23">
        <f t="shared" si="28"/>
        <v>1049544</v>
      </c>
      <c r="P58" s="23">
        <f t="shared" si="28"/>
        <v>994477</v>
      </c>
      <c r="Q58" s="23">
        <f t="shared" si="28"/>
        <v>939391</v>
      </c>
      <c r="R58" s="23">
        <f t="shared" si="28"/>
        <v>992812</v>
      </c>
      <c r="S58" s="23">
        <f t="shared" si="28"/>
        <v>828927</v>
      </c>
    </row>
    <row r="59" spans="1:19" x14ac:dyDescent="0.25">
      <c r="A59" s="18" t="s">
        <v>201</v>
      </c>
      <c r="B59" s="34">
        <f>B58/B57</f>
        <v>0.1578348923690612</v>
      </c>
      <c r="C59" s="35">
        <f t="shared" ref="C59:S59" si="30">C58/C57</f>
        <v>0.18530062033810088</v>
      </c>
      <c r="D59" s="34">
        <f t="shared" ref="D59:I59" si="31">D58/D57</f>
        <v>0.18514998130208196</v>
      </c>
      <c r="E59" s="34">
        <f t="shared" si="31"/>
        <v>0.17988890176159611</v>
      </c>
      <c r="F59" s="34">
        <f t="shared" si="31"/>
        <v>0.18222504299479708</v>
      </c>
      <c r="G59" s="34">
        <f>G58/G57</f>
        <v>0.16541499962896489</v>
      </c>
      <c r="H59" s="34">
        <f t="shared" si="31"/>
        <v>0.24542543240885614</v>
      </c>
      <c r="I59" s="34">
        <f t="shared" si="31"/>
        <v>0.19446019337091847</v>
      </c>
      <c r="J59" s="34">
        <f t="shared" si="30"/>
        <v>0.14576658127958422</v>
      </c>
      <c r="K59" s="34">
        <f t="shared" si="30"/>
        <v>0.19945093403450218</v>
      </c>
      <c r="L59" s="34">
        <f t="shared" si="30"/>
        <v>0.15458050808928026</v>
      </c>
      <c r="M59" s="34">
        <f t="shared" si="30"/>
        <v>0.19426387499938333</v>
      </c>
      <c r="N59" s="34">
        <f t="shared" si="30"/>
        <v>0.19633369908861958</v>
      </c>
      <c r="O59" s="34">
        <f t="shared" si="30"/>
        <v>0.17797173632256791</v>
      </c>
      <c r="P59" s="34">
        <f t="shared" si="30"/>
        <v>0.17170641098711628</v>
      </c>
      <c r="Q59" s="34">
        <f t="shared" si="30"/>
        <v>0.17346778046088507</v>
      </c>
      <c r="R59" s="34">
        <f t="shared" si="30"/>
        <v>0.1935237762566272</v>
      </c>
      <c r="S59" s="34">
        <f t="shared" si="30"/>
        <v>0.17273789290391092</v>
      </c>
    </row>
    <row r="60" spans="1:19" x14ac:dyDescent="0.25">
      <c r="A60" s="27" t="s">
        <v>202</v>
      </c>
      <c r="B60" s="23"/>
      <c r="C60" s="24"/>
      <c r="D60" s="23"/>
      <c r="E60" s="23"/>
      <c r="F60" s="23"/>
      <c r="G60" s="23"/>
      <c r="H60" s="23"/>
      <c r="I60" s="23"/>
      <c r="J60" s="23"/>
      <c r="K60" s="23"/>
      <c r="L60" s="23"/>
      <c r="M60" s="23"/>
      <c r="N60" s="23"/>
      <c r="O60" s="23"/>
      <c r="P60" s="23"/>
      <c r="Q60" s="23"/>
      <c r="R60" s="23"/>
      <c r="S60" s="23"/>
    </row>
    <row r="61" spans="1:19" x14ac:dyDescent="0.25">
      <c r="A61" s="18" t="s">
        <v>199</v>
      </c>
      <c r="B61" s="57" t="s">
        <v>194</v>
      </c>
      <c r="C61" s="64" t="s">
        <v>194</v>
      </c>
      <c r="D61" s="57" t="s">
        <v>194</v>
      </c>
      <c r="E61" s="57" t="s">
        <v>194</v>
      </c>
      <c r="F61" s="57" t="s">
        <v>194</v>
      </c>
      <c r="G61" s="57" t="s">
        <v>194</v>
      </c>
      <c r="H61" s="57" t="s">
        <v>194</v>
      </c>
      <c r="I61" s="23">
        <f t="shared" ref="I61" si="32">I22</f>
        <v>4113414</v>
      </c>
      <c r="J61" s="23">
        <f t="shared" ref="J61:M61" si="33">J22</f>
        <v>3837261</v>
      </c>
      <c r="K61" s="23">
        <f t="shared" si="33"/>
        <v>3502299</v>
      </c>
      <c r="L61" s="23">
        <f t="shared" si="33"/>
        <v>3196188</v>
      </c>
      <c r="M61" s="23">
        <f t="shared" si="33"/>
        <v>477390</v>
      </c>
      <c r="N61" s="23">
        <v>0</v>
      </c>
      <c r="O61" s="23"/>
      <c r="P61" s="23"/>
      <c r="Q61" s="23"/>
      <c r="R61" s="23"/>
      <c r="S61" s="23"/>
    </row>
    <row r="62" spans="1:19" x14ac:dyDescent="0.25">
      <c r="A62" s="18" t="s">
        <v>200</v>
      </c>
      <c r="B62" s="57" t="s">
        <v>194</v>
      </c>
      <c r="C62" s="64" t="s">
        <v>194</v>
      </c>
      <c r="D62" s="57" t="s">
        <v>194</v>
      </c>
      <c r="E62" s="57" t="s">
        <v>194</v>
      </c>
      <c r="F62" s="57" t="s">
        <v>194</v>
      </c>
      <c r="G62" s="57" t="s">
        <v>194</v>
      </c>
      <c r="H62" s="57" t="s">
        <v>194</v>
      </c>
      <c r="I62" s="23">
        <f t="shared" ref="I62" si="34">I34</f>
        <v>-104233</v>
      </c>
      <c r="J62" s="23">
        <f t="shared" ref="J62:M62" si="35">J34</f>
        <v>33929</v>
      </c>
      <c r="K62" s="23">
        <f t="shared" si="35"/>
        <v>214983</v>
      </c>
      <c r="L62" s="23">
        <f t="shared" si="35"/>
        <v>385253</v>
      </c>
      <c r="M62" s="23">
        <f t="shared" si="35"/>
        <v>66930</v>
      </c>
      <c r="N62" s="23">
        <v>0</v>
      </c>
      <c r="O62" s="23"/>
      <c r="P62" s="23"/>
      <c r="Q62" s="23"/>
      <c r="R62" s="23"/>
      <c r="S62" s="23"/>
    </row>
    <row r="63" spans="1:19" x14ac:dyDescent="0.25">
      <c r="A63" s="18" t="s">
        <v>201</v>
      </c>
      <c r="B63" s="57" t="s">
        <v>194</v>
      </c>
      <c r="C63" s="64" t="s">
        <v>194</v>
      </c>
      <c r="D63" s="57" t="s">
        <v>194</v>
      </c>
      <c r="E63" s="57" t="s">
        <v>194</v>
      </c>
      <c r="F63" s="57" t="s">
        <v>194</v>
      </c>
      <c r="G63" s="57" t="s">
        <v>194</v>
      </c>
      <c r="H63" s="57" t="s">
        <v>194</v>
      </c>
      <c r="I63" s="34">
        <f t="shared" ref="I63" si="36">I62/I61</f>
        <v>-2.5339778587810516E-2</v>
      </c>
      <c r="J63" s="34">
        <f t="shared" ref="J63:M63" si="37">J62/J61</f>
        <v>8.8419839046653334E-3</v>
      </c>
      <c r="K63" s="34">
        <f t="shared" si="37"/>
        <v>6.1383394164804317E-2</v>
      </c>
      <c r="L63" s="34">
        <f t="shared" si="37"/>
        <v>0.12053514999743445</v>
      </c>
      <c r="M63" s="34">
        <f t="shared" si="37"/>
        <v>0.14019983661157545</v>
      </c>
      <c r="N63" s="34"/>
      <c r="O63" s="34"/>
      <c r="P63" s="34"/>
      <c r="Q63" s="34"/>
      <c r="R63" s="34"/>
      <c r="S63" s="34"/>
    </row>
    <row r="64" spans="1:19" x14ac:dyDescent="0.25">
      <c r="A64" s="27" t="s">
        <v>203</v>
      </c>
      <c r="B64" s="23"/>
      <c r="C64" s="24"/>
      <c r="D64" s="23"/>
      <c r="E64" s="23"/>
      <c r="F64" s="23"/>
      <c r="G64" s="23"/>
      <c r="H64" s="23"/>
      <c r="I64" s="23"/>
      <c r="J64" s="23"/>
      <c r="K64" s="23"/>
      <c r="L64" s="23"/>
      <c r="M64" s="23"/>
      <c r="N64" s="23"/>
      <c r="O64" s="23"/>
      <c r="P64" s="23"/>
      <c r="Q64" s="23"/>
      <c r="R64" s="23"/>
      <c r="S64" s="23"/>
    </row>
    <row r="65" spans="1:19" x14ac:dyDescent="0.25">
      <c r="A65" s="18" t="s">
        <v>199</v>
      </c>
      <c r="B65" s="23">
        <f t="shared" ref="B65:S65" si="38">B28</f>
        <v>264628</v>
      </c>
      <c r="C65" s="24">
        <f t="shared" si="38"/>
        <v>261419</v>
      </c>
      <c r="D65" s="23">
        <f t="shared" si="38"/>
        <v>1046924</v>
      </c>
      <c r="E65" s="23">
        <f t="shared" si="38"/>
        <v>1052698</v>
      </c>
      <c r="F65" s="23">
        <f t="shared" si="38"/>
        <v>971928</v>
      </c>
      <c r="G65" s="23">
        <f t="shared" si="38"/>
        <v>1196088</v>
      </c>
      <c r="H65" s="23">
        <f t="shared" si="38"/>
        <v>1596347</v>
      </c>
      <c r="I65" s="23">
        <f t="shared" si="38"/>
        <v>1621372</v>
      </c>
      <c r="J65" s="23">
        <f t="shared" si="38"/>
        <v>1382430</v>
      </c>
      <c r="K65" s="23">
        <f t="shared" si="38"/>
        <v>1139499</v>
      </c>
      <c r="L65" s="23">
        <f t="shared" si="38"/>
        <v>851882</v>
      </c>
      <c r="M65" s="23">
        <f t="shared" si="38"/>
        <v>642472</v>
      </c>
      <c r="N65" s="23">
        <f t="shared" si="38"/>
        <v>454006</v>
      </c>
      <c r="O65" s="23">
        <f t="shared" si="38"/>
        <v>331659</v>
      </c>
      <c r="P65" s="23">
        <f t="shared" si="38"/>
        <v>317071</v>
      </c>
      <c r="Q65" s="23">
        <f t="shared" si="38"/>
        <v>244810</v>
      </c>
      <c r="R65" s="23">
        <f t="shared" si="38"/>
        <v>133970</v>
      </c>
      <c r="S65" s="23">
        <f t="shared" si="38"/>
        <v>81906</v>
      </c>
    </row>
    <row r="66" spans="1:19" x14ac:dyDescent="0.25">
      <c r="A66" s="18" t="s">
        <v>200</v>
      </c>
      <c r="B66" s="23">
        <f t="shared" ref="B66:S66" si="39">B35</f>
        <v>-32305</v>
      </c>
      <c r="C66" s="24">
        <f t="shared" si="39"/>
        <v>-11860</v>
      </c>
      <c r="D66" s="23">
        <f t="shared" si="39"/>
        <v>-66003</v>
      </c>
      <c r="E66" s="23">
        <f t="shared" si="39"/>
        <v>-76261</v>
      </c>
      <c r="F66" s="23">
        <f t="shared" si="39"/>
        <v>-189174</v>
      </c>
      <c r="G66" s="23">
        <f t="shared" si="39"/>
        <v>-93789</v>
      </c>
      <c r="H66" s="23">
        <f t="shared" si="39"/>
        <v>-439477</v>
      </c>
      <c r="I66" s="23">
        <f t="shared" si="39"/>
        <v>266323</v>
      </c>
      <c r="J66" s="23">
        <f t="shared" si="39"/>
        <v>-103901</v>
      </c>
      <c r="K66" s="23">
        <f t="shared" si="39"/>
        <v>-24456</v>
      </c>
      <c r="L66" s="23">
        <f t="shared" si="39"/>
        <v>-38595</v>
      </c>
      <c r="M66" s="23">
        <f t="shared" si="39"/>
        <v>-64877</v>
      </c>
      <c r="N66" s="23">
        <f t="shared" si="39"/>
        <v>-34105</v>
      </c>
      <c r="O66" s="23">
        <f t="shared" si="39"/>
        <v>-11315</v>
      </c>
      <c r="P66" s="23">
        <f t="shared" si="39"/>
        <v>-12226</v>
      </c>
      <c r="Q66" s="23">
        <f t="shared" si="39"/>
        <v>-29856</v>
      </c>
      <c r="R66" s="23">
        <f t="shared" si="39"/>
        <v>-50969</v>
      </c>
      <c r="S66" s="23">
        <f t="shared" si="39"/>
        <v>-27273</v>
      </c>
    </row>
    <row r="67" spans="1:19" x14ac:dyDescent="0.25">
      <c r="A67" s="18" t="s">
        <v>201</v>
      </c>
      <c r="B67" s="34">
        <f>B66/B65</f>
        <v>-0.12207702888583219</v>
      </c>
      <c r="C67" s="35">
        <f t="shared" ref="C67:S67" si="40">C66/C65</f>
        <v>-4.5367781224777082E-2</v>
      </c>
      <c r="D67" s="34">
        <f t="shared" ref="D67:I67" si="41">D66/D65</f>
        <v>-6.3044690923123356E-2</v>
      </c>
      <c r="E67" s="34">
        <f t="shared" si="41"/>
        <v>-7.2443378822796278E-2</v>
      </c>
      <c r="F67" s="34">
        <f t="shared" si="41"/>
        <v>-0.19463787441045016</v>
      </c>
      <c r="G67" s="34">
        <f t="shared" si="41"/>
        <v>-7.8413126793346305E-2</v>
      </c>
      <c r="H67" s="34">
        <f t="shared" si="41"/>
        <v>-0.27530167313247056</v>
      </c>
      <c r="I67" s="34">
        <f t="shared" si="41"/>
        <v>0.16425780141756488</v>
      </c>
      <c r="J67" s="34">
        <f t="shared" si="40"/>
        <v>-7.515823586004354E-2</v>
      </c>
      <c r="K67" s="34">
        <f t="shared" si="40"/>
        <v>-2.1462063591104513E-2</v>
      </c>
      <c r="L67" s="34">
        <f t="shared" si="40"/>
        <v>-4.530557048980962E-2</v>
      </c>
      <c r="M67" s="34">
        <f t="shared" si="40"/>
        <v>-0.10098027618324222</v>
      </c>
      <c r="N67" s="34">
        <f t="shared" si="40"/>
        <v>-7.5120152597102238E-2</v>
      </c>
      <c r="O67" s="34">
        <f t="shared" si="40"/>
        <v>-3.411636650897458E-2</v>
      </c>
      <c r="P67" s="34">
        <f t="shared" si="40"/>
        <v>-3.8559187059049864E-2</v>
      </c>
      <c r="Q67" s="34">
        <f t="shared" si="40"/>
        <v>-0.12195580245904987</v>
      </c>
      <c r="R67" s="34">
        <f t="shared" si="40"/>
        <v>-0.38045084720459804</v>
      </c>
      <c r="S67" s="34">
        <f t="shared" si="40"/>
        <v>-0.33297926891802798</v>
      </c>
    </row>
    <row r="68" spans="1:19" x14ac:dyDescent="0.25">
      <c r="A68" s="27" t="s">
        <v>204</v>
      </c>
      <c r="B68" s="23"/>
      <c r="C68" s="24"/>
      <c r="D68" s="23"/>
      <c r="E68" s="23"/>
      <c r="F68" s="23"/>
      <c r="G68" s="23"/>
      <c r="H68" s="23"/>
      <c r="I68" s="23"/>
      <c r="J68" s="23"/>
      <c r="K68" s="23"/>
      <c r="L68" s="23"/>
      <c r="M68" s="23"/>
      <c r="N68" s="23"/>
      <c r="O68" s="23"/>
      <c r="P68" s="23"/>
      <c r="Q68" s="23"/>
      <c r="R68" s="23"/>
      <c r="S68" s="23"/>
    </row>
    <row r="69" spans="1:19" x14ac:dyDescent="0.25">
      <c r="A69" s="18" t="s">
        <v>205</v>
      </c>
      <c r="B69" s="23">
        <f t="shared" ref="B69:H70" si="42">B57+B65</f>
        <v>2839724</v>
      </c>
      <c r="C69" s="24">
        <f t="shared" si="42"/>
        <v>2851297</v>
      </c>
      <c r="D69" s="23">
        <f t="shared" si="42"/>
        <v>11713887</v>
      </c>
      <c r="E69" s="23">
        <f t="shared" si="42"/>
        <v>11712633</v>
      </c>
      <c r="F69" s="23">
        <f t="shared" si="42"/>
        <v>11534834</v>
      </c>
      <c r="G69" s="23">
        <f t="shared" si="42"/>
        <v>11532037</v>
      </c>
      <c r="H69" s="23">
        <f t="shared" si="42"/>
        <v>10956412</v>
      </c>
      <c r="I69" s="23">
        <f t="shared" ref="I69:S69" si="43">I57+I61+I65</f>
        <v>14872975</v>
      </c>
      <c r="J69" s="23">
        <f t="shared" si="43"/>
        <v>13861123</v>
      </c>
      <c r="K69" s="23">
        <f t="shared" si="43"/>
        <v>12852469</v>
      </c>
      <c r="L69" s="23">
        <f t="shared" si="43"/>
        <v>11812296</v>
      </c>
      <c r="M69" s="23">
        <f t="shared" si="43"/>
        <v>8214547</v>
      </c>
      <c r="N69" s="23">
        <f t="shared" si="43"/>
        <v>6748743</v>
      </c>
      <c r="O69" s="23">
        <f t="shared" si="43"/>
        <v>6228910</v>
      </c>
      <c r="P69" s="23">
        <f t="shared" si="43"/>
        <v>6108800</v>
      </c>
      <c r="Q69" s="23">
        <f t="shared" si="43"/>
        <v>5660173</v>
      </c>
      <c r="R69" s="23">
        <f t="shared" si="43"/>
        <v>5264151</v>
      </c>
      <c r="S69" s="23">
        <f t="shared" si="43"/>
        <v>4880662</v>
      </c>
    </row>
    <row r="70" spans="1:19" x14ac:dyDescent="0.25">
      <c r="A70" s="18" t="s">
        <v>209</v>
      </c>
      <c r="B70" s="23">
        <f t="shared" si="42"/>
        <v>374135</v>
      </c>
      <c r="C70" s="24">
        <f t="shared" si="42"/>
        <v>468046</v>
      </c>
      <c r="D70" s="23">
        <f t="shared" si="42"/>
        <v>1908985</v>
      </c>
      <c r="E70" s="23">
        <f t="shared" si="42"/>
        <v>1841343</v>
      </c>
      <c r="F70" s="23">
        <f t="shared" si="42"/>
        <v>1735652</v>
      </c>
      <c r="G70" s="23">
        <f t="shared" si="42"/>
        <v>1615932</v>
      </c>
      <c r="H70" s="23">
        <f t="shared" si="42"/>
        <v>1857721</v>
      </c>
      <c r="I70" s="23">
        <f t="shared" ref="I70:S70" si="44">I58+I62+I66</f>
        <v>1939104</v>
      </c>
      <c r="J70" s="23">
        <f t="shared" si="44"/>
        <v>1189660</v>
      </c>
      <c r="K70" s="23">
        <f t="shared" si="44"/>
        <v>1828153</v>
      </c>
      <c r="L70" s="23">
        <f t="shared" si="44"/>
        <v>1546856</v>
      </c>
      <c r="M70" s="23">
        <f t="shared" si="44"/>
        <v>1380294</v>
      </c>
      <c r="N70" s="23">
        <f t="shared" si="44"/>
        <v>1201764</v>
      </c>
      <c r="O70" s="23">
        <f t="shared" si="44"/>
        <v>1038229</v>
      </c>
      <c r="P70" s="23">
        <f t="shared" si="44"/>
        <v>982251</v>
      </c>
      <c r="Q70" s="23">
        <f t="shared" si="44"/>
        <v>909535</v>
      </c>
      <c r="R70" s="23">
        <f t="shared" si="44"/>
        <v>941843</v>
      </c>
      <c r="S70" s="23">
        <f t="shared" si="44"/>
        <v>801654</v>
      </c>
    </row>
    <row r="71" spans="1:19" x14ac:dyDescent="0.25">
      <c r="A71" s="18" t="s">
        <v>201</v>
      </c>
      <c r="B71" s="34">
        <f>B70/B69</f>
        <v>0.13175047997622305</v>
      </c>
      <c r="C71" s="35">
        <f t="shared" ref="C71:S71" si="45">C70/C69</f>
        <v>0.16415196312415017</v>
      </c>
      <c r="D71" s="34">
        <f t="shared" ref="D71:I71" si="46">D70/D69</f>
        <v>0.16296768100972803</v>
      </c>
      <c r="E71" s="34">
        <f t="shared" si="46"/>
        <v>0.15720999710312789</v>
      </c>
      <c r="F71" s="34">
        <f t="shared" si="46"/>
        <v>0.15047047924573514</v>
      </c>
      <c r="G71" s="34">
        <f t="shared" si="46"/>
        <v>0.14012546092247188</v>
      </c>
      <c r="H71" s="34">
        <f t="shared" si="46"/>
        <v>0.16955559904099993</v>
      </c>
      <c r="I71" s="34">
        <f t="shared" si="46"/>
        <v>0.13037768166758837</v>
      </c>
      <c r="J71" s="34">
        <f t="shared" si="45"/>
        <v>8.5827100733468706E-2</v>
      </c>
      <c r="K71" s="34">
        <f t="shared" si="45"/>
        <v>0.142241385682393</v>
      </c>
      <c r="L71" s="34">
        <f t="shared" si="45"/>
        <v>0.1309530340248839</v>
      </c>
      <c r="M71" s="34">
        <f t="shared" si="45"/>
        <v>0.16803044647501561</v>
      </c>
      <c r="N71" s="34">
        <f t="shared" si="45"/>
        <v>0.17807227212534246</v>
      </c>
      <c r="O71" s="34">
        <f t="shared" si="45"/>
        <v>0.16667908189394293</v>
      </c>
      <c r="P71" s="34">
        <f t="shared" si="45"/>
        <v>0.16079279072812991</v>
      </c>
      <c r="Q71" s="34">
        <f t="shared" si="45"/>
        <v>0.16069031812278528</v>
      </c>
      <c r="R71" s="34">
        <f t="shared" si="45"/>
        <v>0.17891641026254756</v>
      </c>
      <c r="S71" s="34">
        <f t="shared" si="45"/>
        <v>0.16425107905443975</v>
      </c>
    </row>
    <row r="72" spans="1:19" x14ac:dyDescent="0.25">
      <c r="B72" s="23"/>
      <c r="C72" s="23"/>
      <c r="D72" s="23"/>
      <c r="E72" s="23"/>
      <c r="F72" s="23"/>
      <c r="G72" s="23"/>
      <c r="H72" s="23"/>
      <c r="I72" s="23"/>
      <c r="J72" s="23"/>
      <c r="K72" s="23"/>
      <c r="L72" s="23"/>
      <c r="M72" s="23"/>
      <c r="N72" s="23"/>
      <c r="O72" s="23"/>
      <c r="P72" s="23"/>
      <c r="Q72" s="23"/>
      <c r="R72" s="23"/>
      <c r="S72" s="23"/>
    </row>
    <row r="73" spans="1:19" x14ac:dyDescent="0.25">
      <c r="B73" s="23"/>
      <c r="C73" s="23"/>
      <c r="D73" s="23"/>
      <c r="E73" s="23"/>
      <c r="F73" s="23"/>
      <c r="G73" s="23"/>
      <c r="H73" s="23"/>
      <c r="I73" s="23"/>
      <c r="J73" s="23"/>
      <c r="K73" s="23"/>
      <c r="L73" s="23"/>
      <c r="M73" s="23"/>
      <c r="N73" s="23"/>
      <c r="O73" s="23"/>
      <c r="P73" s="23"/>
      <c r="Q73" s="23"/>
      <c r="R73" s="23"/>
      <c r="S73" s="23"/>
    </row>
    <row r="74" spans="1:19" x14ac:dyDescent="0.25">
      <c r="B74" s="23"/>
      <c r="C74" s="23"/>
      <c r="D74" s="23"/>
      <c r="E74" s="23"/>
      <c r="F74" s="23"/>
      <c r="G74" s="23"/>
      <c r="H74" s="23"/>
      <c r="I74" s="23"/>
      <c r="J74" s="23"/>
      <c r="K74" s="23"/>
      <c r="L74" s="23"/>
      <c r="M74" s="23"/>
      <c r="N74" s="23"/>
      <c r="O74" s="23"/>
      <c r="P74" s="23"/>
      <c r="Q74" s="23"/>
      <c r="R74" s="23"/>
      <c r="S74" s="23"/>
    </row>
    <row r="75" spans="1:19" x14ac:dyDescent="0.25">
      <c r="B75" s="23"/>
      <c r="C75" s="23"/>
      <c r="D75" s="23"/>
      <c r="E75" s="23"/>
      <c r="F75" s="23"/>
      <c r="G75" s="23"/>
      <c r="H75" s="23"/>
      <c r="I75" s="23"/>
      <c r="J75" s="23"/>
      <c r="K75" s="23"/>
      <c r="L75" s="23"/>
      <c r="M75" s="23"/>
      <c r="N75" s="23"/>
      <c r="O75" s="23"/>
      <c r="P75" s="23"/>
      <c r="Q75" s="23"/>
      <c r="R75" s="23"/>
      <c r="S75" s="23"/>
    </row>
    <row r="76" spans="1:19" x14ac:dyDescent="0.25">
      <c r="B76" s="23"/>
      <c r="C76" s="23"/>
      <c r="D76" s="23"/>
      <c r="E76" s="23"/>
      <c r="F76" s="23"/>
      <c r="G76" s="23"/>
      <c r="H76" s="23"/>
      <c r="I76" s="23"/>
      <c r="J76" s="23"/>
      <c r="K76" s="23"/>
      <c r="L76" s="23"/>
      <c r="M76" s="23"/>
      <c r="N76" s="23"/>
      <c r="O76" s="23"/>
      <c r="P76" s="23"/>
      <c r="Q76" s="23"/>
      <c r="R76" s="23"/>
      <c r="S76" s="23"/>
    </row>
    <row r="77" spans="1:19" x14ac:dyDescent="0.25">
      <c r="B77" s="23"/>
      <c r="C77" s="23"/>
      <c r="D77" s="23"/>
      <c r="E77" s="23"/>
      <c r="F77" s="23"/>
      <c r="G77" s="23"/>
      <c r="H77" s="23"/>
      <c r="I77" s="23"/>
      <c r="J77" s="23"/>
      <c r="K77" s="23"/>
      <c r="L77" s="23"/>
      <c r="M77" s="23"/>
      <c r="N77" s="23"/>
      <c r="O77" s="23"/>
      <c r="P77" s="23"/>
      <c r="Q77" s="23"/>
      <c r="R77" s="23"/>
      <c r="S77" s="23"/>
    </row>
    <row r="78" spans="1:19" x14ac:dyDescent="0.25">
      <c r="B78" s="23"/>
      <c r="C78" s="23"/>
      <c r="D78" s="23"/>
      <c r="E78" s="23"/>
      <c r="F78" s="23"/>
      <c r="G78" s="23"/>
      <c r="H78" s="23"/>
      <c r="I78" s="23"/>
      <c r="J78" s="23"/>
      <c r="K78" s="23"/>
      <c r="L78" s="23"/>
      <c r="M78" s="23"/>
      <c r="N78" s="23"/>
      <c r="O78" s="23"/>
      <c r="P78" s="23"/>
      <c r="Q78" s="23"/>
      <c r="R78" s="23"/>
      <c r="S78" s="23"/>
    </row>
    <row r="79" spans="1:19" x14ac:dyDescent="0.25">
      <c r="B79" s="23"/>
      <c r="C79" s="23"/>
      <c r="D79" s="23"/>
      <c r="E79" s="23"/>
      <c r="F79" s="23"/>
      <c r="G79" s="23"/>
      <c r="H79" s="23"/>
      <c r="I79" s="23"/>
      <c r="J79" s="23"/>
      <c r="K79" s="23"/>
      <c r="L79" s="23"/>
      <c r="M79" s="23"/>
      <c r="N79" s="23"/>
      <c r="O79" s="23"/>
      <c r="P79" s="23"/>
      <c r="Q79" s="23"/>
      <c r="R79" s="23"/>
      <c r="S79" s="23"/>
    </row>
    <row r="80" spans="1:19" x14ac:dyDescent="0.25">
      <c r="B80" s="23"/>
      <c r="C80" s="23"/>
      <c r="D80" s="23"/>
      <c r="E80" s="23"/>
      <c r="F80" s="23"/>
      <c r="G80" s="23"/>
      <c r="H80" s="23"/>
      <c r="I80" s="23"/>
      <c r="J80" s="23"/>
      <c r="K80" s="23"/>
      <c r="L80" s="23"/>
      <c r="M80" s="23"/>
      <c r="N80" s="23"/>
      <c r="O80" s="23"/>
      <c r="P80" s="23"/>
      <c r="Q80" s="23"/>
      <c r="R80" s="23"/>
      <c r="S80" s="23"/>
    </row>
    <row r="81" spans="2:19" x14ac:dyDescent="0.25">
      <c r="B81" s="23"/>
      <c r="C81" s="23"/>
      <c r="D81" s="23"/>
      <c r="E81" s="23"/>
      <c r="F81" s="23"/>
      <c r="G81" s="23"/>
      <c r="H81" s="23"/>
      <c r="I81" s="23"/>
      <c r="J81" s="23"/>
      <c r="K81" s="23"/>
      <c r="L81" s="23"/>
      <c r="M81" s="23"/>
      <c r="N81" s="23"/>
      <c r="O81" s="23"/>
      <c r="P81" s="23"/>
      <c r="Q81" s="23"/>
      <c r="R81" s="23"/>
      <c r="S81" s="23"/>
    </row>
    <row r="82" spans="2:19" x14ac:dyDescent="0.25">
      <c r="B82" s="23"/>
      <c r="C82" s="23"/>
      <c r="D82" s="23"/>
      <c r="E82" s="23"/>
      <c r="F82" s="23"/>
      <c r="G82" s="23"/>
      <c r="H82" s="23"/>
      <c r="I82" s="23"/>
      <c r="J82" s="23"/>
      <c r="K82" s="23"/>
      <c r="L82" s="23"/>
      <c r="M82" s="23"/>
      <c r="N82" s="23"/>
      <c r="O82" s="23"/>
      <c r="P82" s="23"/>
      <c r="Q82" s="23"/>
      <c r="R82" s="23"/>
      <c r="S82" s="23"/>
    </row>
    <row r="83" spans="2:19" x14ac:dyDescent="0.25">
      <c r="B83" s="23"/>
      <c r="C83" s="23"/>
      <c r="D83" s="23"/>
      <c r="E83" s="23"/>
      <c r="F83" s="23"/>
      <c r="G83" s="23"/>
      <c r="H83" s="23"/>
      <c r="I83" s="23"/>
      <c r="J83" s="23"/>
      <c r="K83" s="23"/>
      <c r="L83" s="23"/>
      <c r="M83" s="23"/>
      <c r="N83" s="23"/>
      <c r="O83" s="23"/>
      <c r="P83" s="23"/>
      <c r="Q83" s="23"/>
      <c r="R83" s="23"/>
      <c r="S83" s="23"/>
    </row>
    <row r="84" spans="2:19" x14ac:dyDescent="0.25">
      <c r="B84" s="23"/>
      <c r="C84" s="23"/>
      <c r="D84" s="23"/>
      <c r="E84" s="23"/>
      <c r="F84" s="23"/>
      <c r="G84" s="23"/>
      <c r="H84" s="23"/>
      <c r="I84" s="23"/>
      <c r="J84" s="23"/>
      <c r="K84" s="23"/>
      <c r="L84" s="23"/>
      <c r="M84" s="23"/>
      <c r="N84" s="23"/>
      <c r="O84" s="23"/>
      <c r="P84" s="23"/>
      <c r="Q84" s="23"/>
      <c r="R84" s="23"/>
      <c r="S84" s="23"/>
    </row>
    <row r="85" spans="2:19" x14ac:dyDescent="0.25">
      <c r="B85" s="23"/>
      <c r="C85" s="23"/>
      <c r="D85" s="23"/>
      <c r="E85" s="23"/>
      <c r="F85" s="23"/>
      <c r="G85" s="23"/>
      <c r="H85" s="23"/>
      <c r="I85" s="23"/>
      <c r="J85" s="23"/>
      <c r="K85" s="23"/>
      <c r="L85" s="23"/>
      <c r="M85" s="23"/>
      <c r="N85" s="23"/>
      <c r="O85" s="23"/>
      <c r="P85" s="23"/>
      <c r="Q85" s="23"/>
      <c r="R85" s="23"/>
      <c r="S85" s="23"/>
    </row>
    <row r="86" spans="2:19" x14ac:dyDescent="0.25">
      <c r="B86" s="23"/>
      <c r="C86" s="23"/>
      <c r="D86" s="23"/>
      <c r="E86" s="23"/>
      <c r="F86" s="23"/>
      <c r="G86" s="23"/>
      <c r="H86" s="23"/>
      <c r="I86" s="23"/>
      <c r="J86" s="23"/>
      <c r="K86" s="23"/>
      <c r="L86" s="23"/>
      <c r="M86" s="23"/>
      <c r="N86" s="23"/>
      <c r="O86" s="23"/>
      <c r="P86" s="23"/>
      <c r="Q86" s="23"/>
      <c r="R86" s="23"/>
      <c r="S86" s="23"/>
    </row>
    <row r="87" spans="2:19" x14ac:dyDescent="0.25">
      <c r="B87" s="23"/>
      <c r="C87" s="23"/>
      <c r="D87" s="23"/>
      <c r="E87" s="23"/>
      <c r="F87" s="23"/>
      <c r="G87" s="23"/>
      <c r="H87" s="23"/>
      <c r="I87" s="23"/>
      <c r="J87" s="23"/>
      <c r="K87" s="23"/>
      <c r="L87" s="23"/>
      <c r="M87" s="23"/>
      <c r="N87" s="23"/>
      <c r="O87" s="23"/>
      <c r="P87" s="23"/>
      <c r="Q87" s="23"/>
      <c r="R87" s="23"/>
      <c r="S87" s="23"/>
    </row>
    <row r="88" spans="2:19" x14ac:dyDescent="0.25">
      <c r="B88" s="23"/>
      <c r="C88" s="23"/>
      <c r="D88" s="23"/>
      <c r="E88" s="23"/>
      <c r="F88" s="23"/>
      <c r="G88" s="23"/>
      <c r="H88" s="23"/>
      <c r="I88" s="23"/>
      <c r="J88" s="23"/>
      <c r="K88" s="23"/>
      <c r="L88" s="23"/>
      <c r="M88" s="23"/>
      <c r="N88" s="23"/>
      <c r="O88" s="23"/>
      <c r="P88" s="23"/>
      <c r="Q88" s="23"/>
      <c r="R88" s="23"/>
      <c r="S88" s="23"/>
    </row>
  </sheetData>
  <mergeCells count="7">
    <mergeCell ref="N50:S50"/>
    <mergeCell ref="N18:S21"/>
    <mergeCell ref="P24:S27"/>
    <mergeCell ref="A3:A4"/>
    <mergeCell ref="B3:C3"/>
    <mergeCell ref="D3:S3"/>
    <mergeCell ref="P8:S14"/>
  </mergeCells>
  <pageMargins left="0.75" right="0.75" top="1" bottom="1" header="0.5" footer="0.5"/>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F0885-82D6-5147-8FF4-B102A39817C3}">
  <dimension ref="A1:I63"/>
  <sheetViews>
    <sheetView workbookViewId="0">
      <pane ySplit="4" topLeftCell="A5" activePane="bottomLeft" state="frozen"/>
      <selection pane="bottomLeft"/>
    </sheetView>
  </sheetViews>
  <sheetFormatPr baseColWidth="10" defaultColWidth="9.1640625" defaultRowHeight="19" x14ac:dyDescent="0.25"/>
  <cols>
    <col min="1" max="1" width="74.1640625" style="18" bestFit="1" customWidth="1"/>
    <col min="2" max="3" width="13.83203125" style="18" customWidth="1"/>
    <col min="4" max="4" width="13.1640625" style="18" bestFit="1" customWidth="1"/>
    <col min="5" max="7" width="13.1640625" style="18" customWidth="1"/>
    <col min="8" max="9" width="12.83203125" style="18" bestFit="1" customWidth="1"/>
    <col min="10" max="16384" width="9.1640625" style="18"/>
  </cols>
  <sheetData>
    <row r="1" spans="1:9" ht="21" x14ac:dyDescent="0.25">
      <c r="A1" s="65" t="s">
        <v>273</v>
      </c>
      <c r="B1" s="72"/>
      <c r="C1" s="72"/>
      <c r="D1" s="72"/>
    </row>
    <row r="2" spans="1:9" x14ac:dyDescent="0.25">
      <c r="A2" s="4" t="s">
        <v>263</v>
      </c>
      <c r="B2" s="8"/>
    </row>
    <row r="3" spans="1:9" x14ac:dyDescent="0.25">
      <c r="A3" s="106" t="s">
        <v>296</v>
      </c>
      <c r="B3" s="122" t="s">
        <v>244</v>
      </c>
      <c r="C3" s="123"/>
      <c r="D3" s="110" t="s">
        <v>26</v>
      </c>
      <c r="E3" s="108"/>
      <c r="F3" s="108"/>
      <c r="G3" s="108"/>
      <c r="H3" s="108"/>
      <c r="I3" s="108"/>
    </row>
    <row r="4" spans="1:9" x14ac:dyDescent="0.25">
      <c r="A4" s="107"/>
      <c r="B4" s="54">
        <v>2022</v>
      </c>
      <c r="C4" s="55">
        <v>2021</v>
      </c>
      <c r="D4" s="38">
        <v>2021</v>
      </c>
      <c r="E4" s="38">
        <v>2020</v>
      </c>
      <c r="F4" s="38">
        <v>2019</v>
      </c>
      <c r="G4" s="38">
        <v>2018</v>
      </c>
      <c r="H4" s="38">
        <v>2017</v>
      </c>
      <c r="I4" s="38">
        <v>2016</v>
      </c>
    </row>
    <row r="5" spans="1:9" x14ac:dyDescent="0.25">
      <c r="A5" s="27" t="s">
        <v>278</v>
      </c>
      <c r="B5" s="23"/>
      <c r="C5" s="26"/>
      <c r="D5" s="48"/>
      <c r="E5" s="48"/>
      <c r="F5" s="48"/>
      <c r="G5" s="48"/>
      <c r="H5" s="48"/>
      <c r="I5" s="48"/>
    </row>
    <row r="6" spans="1:9" x14ac:dyDescent="0.25">
      <c r="A6" s="18" t="s">
        <v>264</v>
      </c>
      <c r="B6" s="23">
        <v>1464086</v>
      </c>
      <c r="C6" s="24">
        <v>1480297</v>
      </c>
      <c r="D6" s="23">
        <v>6133235</v>
      </c>
      <c r="E6" s="23">
        <v>6169226</v>
      </c>
      <c r="F6" s="23">
        <v>6129697</v>
      </c>
      <c r="G6" s="23">
        <v>6063891</v>
      </c>
      <c r="H6" s="23">
        <v>5253012</v>
      </c>
      <c r="I6" s="23">
        <v>5303718</v>
      </c>
    </row>
    <row r="7" spans="1:9" x14ac:dyDescent="0.25">
      <c r="A7" s="18" t="s">
        <v>265</v>
      </c>
      <c r="B7" s="23">
        <v>189655</v>
      </c>
      <c r="C7" s="24">
        <v>187243</v>
      </c>
      <c r="D7" s="23">
        <v>782430</v>
      </c>
      <c r="E7" s="23">
        <v>744862</v>
      </c>
      <c r="F7" s="23">
        <v>669089</v>
      </c>
      <c r="G7" s="23">
        <v>628766</v>
      </c>
      <c r="H7" s="23">
        <v>606827</v>
      </c>
      <c r="I7" s="23">
        <v>319553</v>
      </c>
    </row>
    <row r="8" spans="1:9" x14ac:dyDescent="0.25">
      <c r="A8" s="18" t="s">
        <v>266</v>
      </c>
      <c r="B8" s="23">
        <v>80800</v>
      </c>
      <c r="C8" s="24">
        <v>80184</v>
      </c>
      <c r="D8" s="23">
        <v>328256</v>
      </c>
      <c r="E8" s="23">
        <v>334714</v>
      </c>
      <c r="F8" s="23">
        <v>446010</v>
      </c>
      <c r="G8" s="23">
        <v>446999</v>
      </c>
      <c r="H8" s="23">
        <v>362567</v>
      </c>
      <c r="I8" s="23">
        <v>143207</v>
      </c>
    </row>
    <row r="9" spans="1:9" x14ac:dyDescent="0.25">
      <c r="A9" s="18" t="s">
        <v>267</v>
      </c>
      <c r="B9" s="23">
        <v>834579</v>
      </c>
      <c r="C9" s="24">
        <v>835479</v>
      </c>
      <c r="D9" s="23">
        <v>3397697</v>
      </c>
      <c r="E9" s="23">
        <v>3370562</v>
      </c>
      <c r="F9" s="23">
        <v>3286089</v>
      </c>
      <c r="G9" s="23">
        <v>3176413</v>
      </c>
      <c r="H9" s="23">
        <v>3117920</v>
      </c>
      <c r="I9" s="23">
        <v>3355066</v>
      </c>
    </row>
    <row r="10" spans="1:9" x14ac:dyDescent="0.25">
      <c r="A10" s="27" t="s">
        <v>279</v>
      </c>
      <c r="B10" s="28">
        <f>SUM(B6:B9)</f>
        <v>2569120</v>
      </c>
      <c r="C10" s="29">
        <f t="shared" ref="C10:I10" si="0">SUM(C6:C9)</f>
        <v>2583203</v>
      </c>
      <c r="D10" s="28">
        <f t="shared" si="0"/>
        <v>10641618</v>
      </c>
      <c r="E10" s="28">
        <f t="shared" si="0"/>
        <v>10619364</v>
      </c>
      <c r="F10" s="28">
        <f t="shared" si="0"/>
        <v>10530885</v>
      </c>
      <c r="G10" s="28">
        <f t="shared" si="0"/>
        <v>10316069</v>
      </c>
      <c r="H10" s="28">
        <f t="shared" si="0"/>
        <v>9340326</v>
      </c>
      <c r="I10" s="28">
        <f t="shared" si="0"/>
        <v>9121544</v>
      </c>
    </row>
    <row r="11" spans="1:9" x14ac:dyDescent="0.25">
      <c r="A11" s="18" t="s">
        <v>277</v>
      </c>
      <c r="B11" s="48">
        <v>5976</v>
      </c>
      <c r="C11" s="24">
        <v>6675</v>
      </c>
      <c r="D11" s="48">
        <v>25345</v>
      </c>
      <c r="E11" s="48">
        <v>40571</v>
      </c>
      <c r="F11" s="48">
        <v>32021</v>
      </c>
      <c r="G11" s="48">
        <v>19880</v>
      </c>
      <c r="H11" s="48">
        <v>19739</v>
      </c>
      <c r="I11" s="48">
        <v>16649</v>
      </c>
    </row>
    <row r="12" spans="1:9" ht="20" thickBot="1" x14ac:dyDescent="0.3">
      <c r="A12" s="27" t="s">
        <v>280</v>
      </c>
      <c r="B12" s="30">
        <f>SUM(B10:B11)</f>
        <v>2575096</v>
      </c>
      <c r="C12" s="31">
        <f t="shared" ref="C12:I12" si="1">SUM(C10:C11)</f>
        <v>2589878</v>
      </c>
      <c r="D12" s="30">
        <f t="shared" si="1"/>
        <v>10666963</v>
      </c>
      <c r="E12" s="30">
        <f t="shared" si="1"/>
        <v>10659935</v>
      </c>
      <c r="F12" s="30">
        <f t="shared" si="1"/>
        <v>10562906</v>
      </c>
      <c r="G12" s="30">
        <f t="shared" si="1"/>
        <v>10335949</v>
      </c>
      <c r="H12" s="30">
        <f t="shared" si="1"/>
        <v>9360065</v>
      </c>
      <c r="I12" s="30">
        <f t="shared" si="1"/>
        <v>9138193</v>
      </c>
    </row>
    <row r="13" spans="1:9" ht="20" thickTop="1" x14ac:dyDescent="0.25">
      <c r="B13" s="23"/>
      <c r="C13" s="46"/>
      <c r="D13" s="23"/>
      <c r="E13" s="23"/>
      <c r="F13" s="23"/>
      <c r="G13" s="23"/>
      <c r="H13" s="23"/>
      <c r="I13" s="23"/>
    </row>
    <row r="14" spans="1:9" x14ac:dyDescent="0.25">
      <c r="A14" s="27" t="s">
        <v>274</v>
      </c>
      <c r="C14" s="70"/>
    </row>
    <row r="15" spans="1:9" x14ac:dyDescent="0.25">
      <c r="A15" s="18" t="s">
        <v>275</v>
      </c>
      <c r="B15" s="23">
        <v>1796000</v>
      </c>
      <c r="C15" s="24">
        <v>1739000</v>
      </c>
      <c r="D15" s="23">
        <v>7153000</v>
      </c>
      <c r="E15" s="23">
        <v>7222000</v>
      </c>
      <c r="F15" s="23">
        <v>7219000</v>
      </c>
      <c r="G15" s="23">
        <v>7280000</v>
      </c>
      <c r="H15" s="23">
        <v>6334000</v>
      </c>
      <c r="I15" s="23">
        <v>6145000</v>
      </c>
    </row>
    <row r="16" spans="1:9" x14ac:dyDescent="0.25">
      <c r="A16" s="18" t="s">
        <v>75</v>
      </c>
      <c r="B16" s="23">
        <v>217000</v>
      </c>
      <c r="C16" s="24">
        <v>221000</v>
      </c>
      <c r="D16" s="23">
        <v>926000</v>
      </c>
      <c r="E16" s="23">
        <v>958000</v>
      </c>
      <c r="F16" s="23">
        <v>857000</v>
      </c>
      <c r="G16" s="23">
        <v>836000</v>
      </c>
      <c r="H16" s="23">
        <v>760000</v>
      </c>
      <c r="I16" s="23">
        <v>751000</v>
      </c>
    </row>
    <row r="17" spans="1:9" x14ac:dyDescent="0.25">
      <c r="A17" s="18" t="s">
        <v>76</v>
      </c>
      <c r="B17" s="23">
        <v>162000</v>
      </c>
      <c r="C17" s="24">
        <v>156000</v>
      </c>
      <c r="D17" s="23">
        <v>643000</v>
      </c>
      <c r="E17" s="23">
        <v>595000</v>
      </c>
      <c r="F17" s="23">
        <v>583000</v>
      </c>
      <c r="G17" s="23">
        <v>559000</v>
      </c>
      <c r="H17" s="23">
        <v>521000</v>
      </c>
      <c r="I17" s="23">
        <v>483000</v>
      </c>
    </row>
    <row r="18" spans="1:9" x14ac:dyDescent="0.25">
      <c r="A18" s="18" t="s">
        <v>276</v>
      </c>
      <c r="B18" s="23">
        <v>-6000</v>
      </c>
      <c r="C18" s="24">
        <v>-6000</v>
      </c>
      <c r="D18" s="23">
        <v>-30000</v>
      </c>
      <c r="E18" s="23">
        <v>-33000</v>
      </c>
      <c r="F18" s="23">
        <v>-22000</v>
      </c>
      <c r="G18" s="23">
        <v>-48000</v>
      </c>
      <c r="H18" s="23">
        <f>-25000-527000</f>
        <v>-552000</v>
      </c>
      <c r="I18" s="23">
        <v>-18000</v>
      </c>
    </row>
    <row r="19" spans="1:9" ht="20" thickBot="1" x14ac:dyDescent="0.3">
      <c r="A19" s="27" t="s">
        <v>281</v>
      </c>
      <c r="B19" s="30">
        <f>SUM(B15:B18)</f>
        <v>2169000</v>
      </c>
      <c r="C19" s="31">
        <f t="shared" ref="C19:I19" si="2">SUM(C15:C18)</f>
        <v>2110000</v>
      </c>
      <c r="D19" s="30">
        <f t="shared" si="2"/>
        <v>8692000</v>
      </c>
      <c r="E19" s="30">
        <f t="shared" si="2"/>
        <v>8742000</v>
      </c>
      <c r="F19" s="30">
        <f t="shared" si="2"/>
        <v>8637000</v>
      </c>
      <c r="G19" s="30">
        <f t="shared" si="2"/>
        <v>8627000</v>
      </c>
      <c r="H19" s="30">
        <f t="shared" si="2"/>
        <v>7063000</v>
      </c>
      <c r="I19" s="30">
        <f t="shared" si="2"/>
        <v>7361000</v>
      </c>
    </row>
    <row r="20" spans="1:9" ht="20" thickTop="1" x14ac:dyDescent="0.25">
      <c r="C20" s="70"/>
    </row>
    <row r="21" spans="1:9" x14ac:dyDescent="0.25">
      <c r="A21" s="27" t="s">
        <v>82</v>
      </c>
      <c r="B21" s="86">
        <f t="shared" ref="B21:I21" si="3">B12-B19</f>
        <v>406096</v>
      </c>
      <c r="C21" s="87">
        <f t="shared" si="3"/>
        <v>479878</v>
      </c>
      <c r="D21" s="86">
        <f t="shared" si="3"/>
        <v>1974963</v>
      </c>
      <c r="E21" s="86">
        <f t="shared" si="3"/>
        <v>1917935</v>
      </c>
      <c r="F21" s="86">
        <f t="shared" si="3"/>
        <v>1925906</v>
      </c>
      <c r="G21" s="86">
        <f t="shared" si="3"/>
        <v>1708949</v>
      </c>
      <c r="H21" s="86">
        <f t="shared" si="3"/>
        <v>2297065</v>
      </c>
      <c r="I21" s="86">
        <f t="shared" si="3"/>
        <v>1777193</v>
      </c>
    </row>
    <row r="22" spans="1:9" x14ac:dyDescent="0.25">
      <c r="A22" s="27"/>
      <c r="B22" s="86"/>
      <c r="C22" s="87"/>
      <c r="D22" s="86"/>
      <c r="E22" s="86"/>
      <c r="F22" s="86"/>
      <c r="G22" s="86"/>
      <c r="H22" s="86"/>
      <c r="I22" s="86"/>
    </row>
    <row r="23" spans="1:9" x14ac:dyDescent="0.25">
      <c r="A23" s="27" t="s">
        <v>282</v>
      </c>
      <c r="C23" s="70"/>
    </row>
    <row r="24" spans="1:9" x14ac:dyDescent="0.25">
      <c r="A24" s="18" t="s">
        <v>264</v>
      </c>
      <c r="B24" s="34">
        <f t="shared" ref="B24:I24" si="4">B6/B10</f>
        <v>0.56987840194307782</v>
      </c>
      <c r="C24" s="35">
        <f t="shared" si="4"/>
        <v>0.57304710469908871</v>
      </c>
      <c r="D24" s="34">
        <f t="shared" si="4"/>
        <v>0.57634421758044685</v>
      </c>
      <c r="E24" s="34">
        <f t="shared" si="4"/>
        <v>0.58094119384174048</v>
      </c>
      <c r="F24" s="34">
        <f t="shared" si="4"/>
        <v>0.58206855359259935</v>
      </c>
      <c r="G24" s="34">
        <f t="shared" si="4"/>
        <v>0.58781024050924824</v>
      </c>
      <c r="H24" s="34">
        <f t="shared" si="4"/>
        <v>0.56240135515612621</v>
      </c>
      <c r="I24" s="34">
        <f t="shared" si="4"/>
        <v>0.5814495879206415</v>
      </c>
    </row>
    <row r="25" spans="1:9" x14ac:dyDescent="0.25">
      <c r="A25" s="18" t="s">
        <v>265</v>
      </c>
      <c r="B25" s="34">
        <f t="shared" ref="B25:I25" si="5">B7/B10</f>
        <v>7.3820997072927691E-2</v>
      </c>
      <c r="C25" s="35">
        <f t="shared" si="5"/>
        <v>7.2484818266315115E-2</v>
      </c>
      <c r="D25" s="34">
        <f t="shared" si="5"/>
        <v>7.3525473287990598E-2</v>
      </c>
      <c r="E25" s="34">
        <f t="shared" si="5"/>
        <v>7.0141865369715173E-2</v>
      </c>
      <c r="F25" s="34">
        <f t="shared" si="5"/>
        <v>6.3535875664770813E-2</v>
      </c>
      <c r="G25" s="34">
        <f t="shared" si="5"/>
        <v>6.0950154559842512E-2</v>
      </c>
      <c r="H25" s="34">
        <f t="shared" si="5"/>
        <v>6.4968503240679182E-2</v>
      </c>
      <c r="I25" s="34">
        <f t="shared" si="5"/>
        <v>3.5032775152978486E-2</v>
      </c>
    </row>
    <row r="26" spans="1:9" x14ac:dyDescent="0.25">
      <c r="A26" s="18" t="s">
        <v>266</v>
      </c>
      <c r="B26" s="34">
        <f t="shared" ref="B26:I26" si="6">B8/B10</f>
        <v>3.1450457744285981E-2</v>
      </c>
      <c r="C26" s="35">
        <f t="shared" si="6"/>
        <v>3.1040533786930412E-2</v>
      </c>
      <c r="D26" s="34">
        <f t="shared" si="6"/>
        <v>3.0846437073760776E-2</v>
      </c>
      <c r="E26" s="34">
        <f t="shared" si="6"/>
        <v>3.1519213391687111E-2</v>
      </c>
      <c r="F26" s="34">
        <f t="shared" si="6"/>
        <v>4.2352565809996023E-2</v>
      </c>
      <c r="G26" s="34">
        <f t="shared" si="6"/>
        <v>4.3330361594130479E-2</v>
      </c>
      <c r="H26" s="34">
        <f t="shared" si="6"/>
        <v>3.8817381748774082E-2</v>
      </c>
      <c r="I26" s="34">
        <f t="shared" si="6"/>
        <v>1.5699863970397993E-2</v>
      </c>
    </row>
    <row r="27" spans="1:9" x14ac:dyDescent="0.25">
      <c r="A27" s="18" t="s">
        <v>267</v>
      </c>
      <c r="B27" s="34">
        <f t="shared" ref="B27:I27" si="7">B9/B10</f>
        <v>0.32485014323970851</v>
      </c>
      <c r="C27" s="35">
        <f t="shared" si="7"/>
        <v>0.32342754324766576</v>
      </c>
      <c r="D27" s="34">
        <f t="shared" si="7"/>
        <v>0.31928387205780173</v>
      </c>
      <c r="E27" s="34">
        <f t="shared" si="7"/>
        <v>0.31739772739685729</v>
      </c>
      <c r="F27" s="34">
        <f t="shared" si="7"/>
        <v>0.31204300493263387</v>
      </c>
      <c r="G27" s="34">
        <f t="shared" si="7"/>
        <v>0.30790924333677877</v>
      </c>
      <c r="H27" s="34">
        <f t="shared" si="7"/>
        <v>0.33381275985442049</v>
      </c>
      <c r="I27" s="34">
        <f t="shared" si="7"/>
        <v>0.367817772955982</v>
      </c>
    </row>
    <row r="28" spans="1:9" ht="20" thickBot="1" x14ac:dyDescent="0.3">
      <c r="A28" s="27" t="s">
        <v>268</v>
      </c>
      <c r="B28" s="56">
        <f>SUM(B24:B27)</f>
        <v>1</v>
      </c>
      <c r="C28" s="71">
        <f t="shared" ref="C28:I28" si="8">SUM(C24:C27)</f>
        <v>1</v>
      </c>
      <c r="D28" s="56">
        <f t="shared" si="8"/>
        <v>1</v>
      </c>
      <c r="E28" s="56">
        <f t="shared" si="8"/>
        <v>1</v>
      </c>
      <c r="F28" s="56">
        <f t="shared" si="8"/>
        <v>1</v>
      </c>
      <c r="G28" s="56">
        <f t="shared" si="8"/>
        <v>1</v>
      </c>
      <c r="H28" s="56">
        <f t="shared" si="8"/>
        <v>1</v>
      </c>
      <c r="I28" s="56">
        <f t="shared" si="8"/>
        <v>1</v>
      </c>
    </row>
    <row r="29" spans="1:9" ht="20" thickTop="1" x14ac:dyDescent="0.25">
      <c r="A29" s="27"/>
      <c r="B29" s="86"/>
      <c r="C29" s="87"/>
      <c r="D29" s="86"/>
      <c r="E29" s="86"/>
      <c r="F29" s="86"/>
      <c r="G29" s="86"/>
      <c r="H29" s="86"/>
      <c r="I29" s="86"/>
    </row>
    <row r="30" spans="1:9" x14ac:dyDescent="0.25">
      <c r="A30" s="27" t="s">
        <v>269</v>
      </c>
      <c r="C30" s="70"/>
    </row>
    <row r="31" spans="1:9" x14ac:dyDescent="0.25">
      <c r="A31" s="18" t="s">
        <v>260</v>
      </c>
      <c r="B31" s="23">
        <v>7109788</v>
      </c>
      <c r="C31" s="24">
        <v>7286934</v>
      </c>
      <c r="D31" s="23">
        <v>29622188</v>
      </c>
      <c r="E31" s="23">
        <v>30314619</v>
      </c>
      <c r="F31" s="23">
        <v>30172699</v>
      </c>
      <c r="G31" s="23">
        <v>29435304</v>
      </c>
      <c r="H31" s="23">
        <v>28271113</v>
      </c>
      <c r="I31" s="23">
        <v>27162545</v>
      </c>
    </row>
    <row r="32" spans="1:9" x14ac:dyDescent="0.25">
      <c r="A32" s="18" t="s">
        <v>261</v>
      </c>
      <c r="B32" s="23">
        <v>92335</v>
      </c>
      <c r="C32" s="24">
        <v>94636</v>
      </c>
      <c r="D32" s="23">
        <v>94640</v>
      </c>
      <c r="E32" s="23">
        <v>96667</v>
      </c>
      <c r="F32" s="23">
        <v>96398</v>
      </c>
      <c r="G32" s="23">
        <v>94073</v>
      </c>
      <c r="H32" s="23">
        <v>90468</v>
      </c>
      <c r="I32" s="23">
        <v>86532</v>
      </c>
    </row>
    <row r="33" spans="1:9" x14ac:dyDescent="0.25">
      <c r="A33" s="18" t="s">
        <v>262</v>
      </c>
      <c r="B33" s="68">
        <v>77</v>
      </c>
      <c r="C33" s="75">
        <v>77</v>
      </c>
      <c r="D33" s="68">
        <v>313</v>
      </c>
      <c r="E33" s="68">
        <v>313.60000000000002</v>
      </c>
      <c r="F33" s="68">
        <v>313</v>
      </c>
      <c r="G33" s="68">
        <v>312.89999999999998</v>
      </c>
      <c r="H33" s="77" t="s">
        <v>194</v>
      </c>
      <c r="I33" s="77" t="s">
        <v>194</v>
      </c>
    </row>
    <row r="34" spans="1:9" x14ac:dyDescent="0.25">
      <c r="C34" s="70"/>
    </row>
    <row r="35" spans="1:9" x14ac:dyDescent="0.25">
      <c r="A35" s="27" t="s">
        <v>295</v>
      </c>
      <c r="B35" s="85">
        <f t="shared" ref="B35:I35" si="9">B10*1000/B31</f>
        <v>361.34973363481441</v>
      </c>
      <c r="C35" s="89">
        <f t="shared" si="9"/>
        <v>354.49792738619561</v>
      </c>
      <c r="D35" s="85">
        <f t="shared" si="9"/>
        <v>359.24483363619191</v>
      </c>
      <c r="E35" s="85">
        <f t="shared" si="9"/>
        <v>350.30504589221459</v>
      </c>
      <c r="F35" s="85">
        <f t="shared" si="9"/>
        <v>349.02031800337119</v>
      </c>
      <c r="G35" s="85">
        <f t="shared" si="9"/>
        <v>350.46585555902533</v>
      </c>
      <c r="H35" s="85">
        <f t="shared" si="9"/>
        <v>330.38409205891543</v>
      </c>
      <c r="I35" s="85">
        <f t="shared" si="9"/>
        <v>335.8133046811335</v>
      </c>
    </row>
    <row r="36" spans="1:9" x14ac:dyDescent="0.25">
      <c r="A36" s="27" t="s">
        <v>283</v>
      </c>
      <c r="B36" s="85"/>
      <c r="C36" s="89"/>
      <c r="D36" s="85"/>
      <c r="E36" s="85"/>
      <c r="F36" s="85"/>
      <c r="G36" s="85"/>
      <c r="H36" s="85"/>
      <c r="I36" s="85"/>
    </row>
    <row r="37" spans="1:9" x14ac:dyDescent="0.25">
      <c r="A37" s="18" t="s">
        <v>275</v>
      </c>
      <c r="B37" s="78">
        <f t="shared" ref="B37:I37" si="10">B15*1000/B31</f>
        <v>252.60950115530872</v>
      </c>
      <c r="C37" s="80">
        <f t="shared" si="10"/>
        <v>238.64632230784579</v>
      </c>
      <c r="D37" s="78">
        <f t="shared" si="10"/>
        <v>241.4743975023047</v>
      </c>
      <c r="E37" s="78">
        <f t="shared" si="10"/>
        <v>238.23489254474879</v>
      </c>
      <c r="F37" s="78">
        <f t="shared" si="10"/>
        <v>239.25602412962792</v>
      </c>
      <c r="G37" s="78">
        <f t="shared" si="10"/>
        <v>247.32205925238617</v>
      </c>
      <c r="H37" s="78">
        <f t="shared" si="10"/>
        <v>224.04494651484006</v>
      </c>
      <c r="I37" s="78">
        <f t="shared" si="10"/>
        <v>226.23064223179381</v>
      </c>
    </row>
    <row r="38" spans="1:9" x14ac:dyDescent="0.25">
      <c r="A38" s="18" t="s">
        <v>75</v>
      </c>
      <c r="B38" s="78">
        <f t="shared" ref="B38:I38" si="11">B16*1000/B31</f>
        <v>30.521303870101331</v>
      </c>
      <c r="C38" s="80">
        <f t="shared" si="11"/>
        <v>30.32825602647149</v>
      </c>
      <c r="D38" s="78">
        <f t="shared" si="11"/>
        <v>31.260351193504004</v>
      </c>
      <c r="E38" s="78">
        <f t="shared" si="11"/>
        <v>31.601914574614973</v>
      </c>
      <c r="F38" s="78">
        <f t="shared" si="11"/>
        <v>28.403160088529038</v>
      </c>
      <c r="G38" s="78">
        <f t="shared" si="11"/>
        <v>28.401269441620173</v>
      </c>
      <c r="H38" s="78">
        <f t="shared" si="11"/>
        <v>26.882563838218893</v>
      </c>
      <c r="I38" s="78">
        <f t="shared" si="11"/>
        <v>27.648366528246893</v>
      </c>
    </row>
    <row r="39" spans="1:9" x14ac:dyDescent="0.25">
      <c r="A39" s="18" t="s">
        <v>76</v>
      </c>
      <c r="B39" s="90">
        <f t="shared" ref="B39:I39" si="12">B17*1000/B31</f>
        <v>22.785489525144772</v>
      </c>
      <c r="C39" s="88">
        <f t="shared" si="12"/>
        <v>21.408180724568112</v>
      </c>
      <c r="D39" s="78">
        <f t="shared" si="12"/>
        <v>21.706701746677187</v>
      </c>
      <c r="E39" s="78">
        <f t="shared" si="12"/>
        <v>19.62749391638404</v>
      </c>
      <c r="F39" s="78">
        <f t="shared" si="12"/>
        <v>19.322103070726289</v>
      </c>
      <c r="G39" s="78">
        <f t="shared" si="12"/>
        <v>18.990800978308226</v>
      </c>
      <c r="H39" s="78">
        <f t="shared" si="12"/>
        <v>18.42870494698953</v>
      </c>
      <c r="I39" s="78">
        <f t="shared" si="12"/>
        <v>17.7818389256235</v>
      </c>
    </row>
    <row r="40" spans="1:9" x14ac:dyDescent="0.25">
      <c r="A40" s="18" t="s">
        <v>284</v>
      </c>
      <c r="B40" s="78">
        <f>SUM(B37:B39)</f>
        <v>305.91629455055482</v>
      </c>
      <c r="C40" s="92">
        <f t="shared" ref="C40:I40" si="13">SUM(C37:C39)</f>
        <v>290.38275905888543</v>
      </c>
      <c r="D40" s="91">
        <f t="shared" si="13"/>
        <v>294.44145044248592</v>
      </c>
      <c r="E40" s="91">
        <f t="shared" si="13"/>
        <v>289.46430103574778</v>
      </c>
      <c r="F40" s="91">
        <f t="shared" si="13"/>
        <v>286.98128728888327</v>
      </c>
      <c r="G40" s="91">
        <f t="shared" si="13"/>
        <v>294.71412967231458</v>
      </c>
      <c r="H40" s="91">
        <f t="shared" si="13"/>
        <v>269.35621530004846</v>
      </c>
      <c r="I40" s="91">
        <f t="shared" si="13"/>
        <v>271.66084768566418</v>
      </c>
    </row>
    <row r="41" spans="1:9" ht="20" thickBot="1" x14ac:dyDescent="0.3">
      <c r="A41" s="27" t="s">
        <v>297</v>
      </c>
      <c r="B41" s="79">
        <f>B35-B40</f>
        <v>55.433439084259589</v>
      </c>
      <c r="C41" s="81">
        <f t="shared" ref="C41:I41" si="14">C35-C40</f>
        <v>64.115168327310187</v>
      </c>
      <c r="D41" s="79">
        <f t="shared" si="14"/>
        <v>64.803383193705997</v>
      </c>
      <c r="E41" s="79">
        <f t="shared" si="14"/>
        <v>60.840744856466813</v>
      </c>
      <c r="F41" s="79">
        <f t="shared" si="14"/>
        <v>62.039030714487922</v>
      </c>
      <c r="G41" s="79">
        <f t="shared" si="14"/>
        <v>55.751725886710744</v>
      </c>
      <c r="H41" s="79">
        <f t="shared" si="14"/>
        <v>61.027876758866967</v>
      </c>
      <c r="I41" s="79">
        <f t="shared" si="14"/>
        <v>64.152456995469322</v>
      </c>
    </row>
    <row r="42" spans="1:9" ht="20" thickTop="1" x14ac:dyDescent="0.25">
      <c r="C42" s="70"/>
    </row>
    <row r="43" spans="1:9" x14ac:dyDescent="0.25">
      <c r="A43" s="27" t="s">
        <v>288</v>
      </c>
      <c r="C43" s="70"/>
    </row>
    <row r="44" spans="1:9" x14ac:dyDescent="0.25">
      <c r="A44" s="18" t="s">
        <v>285</v>
      </c>
      <c r="B44" s="69">
        <v>0.9</v>
      </c>
      <c r="C44" s="76">
        <v>0.9</v>
      </c>
      <c r="D44" s="69">
        <v>0.9</v>
      </c>
      <c r="E44" s="69">
        <v>0.9</v>
      </c>
      <c r="F44" s="69">
        <v>0.9</v>
      </c>
      <c r="G44" s="69">
        <v>0.89600000000000002</v>
      </c>
      <c r="H44" s="69">
        <v>0.89500000000000002</v>
      </c>
      <c r="I44" s="69">
        <v>0.88</v>
      </c>
    </row>
    <row r="45" spans="1:9" x14ac:dyDescent="0.25">
      <c r="A45" s="18" t="s">
        <v>286</v>
      </c>
      <c r="B45" s="53">
        <f t="shared" ref="B45:I45" si="15">B44*B31</f>
        <v>6398809.2000000002</v>
      </c>
      <c r="C45" s="82">
        <f t="shared" si="15"/>
        <v>6558240.6000000006</v>
      </c>
      <c r="D45" s="53">
        <f t="shared" si="15"/>
        <v>26659969.199999999</v>
      </c>
      <c r="E45" s="53">
        <f t="shared" si="15"/>
        <v>27283157.100000001</v>
      </c>
      <c r="F45" s="53">
        <f t="shared" si="15"/>
        <v>27155429.100000001</v>
      </c>
      <c r="G45" s="53">
        <f t="shared" si="15"/>
        <v>26374032.384</v>
      </c>
      <c r="H45" s="53">
        <f t="shared" si="15"/>
        <v>25302646.135000002</v>
      </c>
      <c r="I45" s="53">
        <f t="shared" si="15"/>
        <v>23903039.600000001</v>
      </c>
    </row>
    <row r="46" spans="1:9" x14ac:dyDescent="0.25">
      <c r="A46" s="18" t="s">
        <v>287</v>
      </c>
      <c r="B46" s="53">
        <f t="shared" ref="B46:I46" si="16">SUM(B6:B8)</f>
        <v>1734541</v>
      </c>
      <c r="C46" s="82">
        <f t="shared" si="16"/>
        <v>1747724</v>
      </c>
      <c r="D46" s="53">
        <f t="shared" si="16"/>
        <v>7243921</v>
      </c>
      <c r="E46" s="53">
        <f t="shared" si="16"/>
        <v>7248802</v>
      </c>
      <c r="F46" s="53">
        <f t="shared" si="16"/>
        <v>7244796</v>
      </c>
      <c r="G46" s="53">
        <f t="shared" si="16"/>
        <v>7139656</v>
      </c>
      <c r="H46" s="53">
        <f t="shared" si="16"/>
        <v>6222406</v>
      </c>
      <c r="I46" s="53">
        <f t="shared" si="16"/>
        <v>5766478</v>
      </c>
    </row>
    <row r="47" spans="1:9" x14ac:dyDescent="0.25">
      <c r="A47" s="27" t="s">
        <v>271</v>
      </c>
      <c r="B47" s="85">
        <f t="shared" ref="B47" si="17">B46*1000/B45</f>
        <v>271.07246767101606</v>
      </c>
      <c r="C47" s="89">
        <f>C46*1000/C45</f>
        <v>266.49281516143213</v>
      </c>
      <c r="D47" s="85">
        <f>D46*1000/D45</f>
        <v>271.71528015118639</v>
      </c>
      <c r="E47" s="85">
        <f t="shared" ref="E47:I47" si="18">E46*1000/E45</f>
        <v>265.6878004781932</v>
      </c>
      <c r="F47" s="85">
        <f t="shared" si="18"/>
        <v>266.78996576783976</v>
      </c>
      <c r="G47" s="85">
        <f t="shared" si="18"/>
        <v>270.70778923936274</v>
      </c>
      <c r="H47" s="85">
        <f t="shared" si="18"/>
        <v>245.91918042092951</v>
      </c>
      <c r="I47" s="85">
        <f t="shared" si="18"/>
        <v>241.24454866401175</v>
      </c>
    </row>
    <row r="48" spans="1:9" x14ac:dyDescent="0.25">
      <c r="A48" s="18" t="s">
        <v>294</v>
      </c>
      <c r="B48" s="32">
        <f>B40</f>
        <v>305.91629455055482</v>
      </c>
      <c r="C48" s="33">
        <f t="shared" ref="C48:I48" si="19">C40</f>
        <v>290.38275905888543</v>
      </c>
      <c r="D48" s="32">
        <f t="shared" si="19"/>
        <v>294.44145044248592</v>
      </c>
      <c r="E48" s="32">
        <f t="shared" si="19"/>
        <v>289.46430103574778</v>
      </c>
      <c r="F48" s="32">
        <f t="shared" si="19"/>
        <v>286.98128728888327</v>
      </c>
      <c r="G48" s="32">
        <f t="shared" si="19"/>
        <v>294.71412967231458</v>
      </c>
      <c r="H48" s="32">
        <f t="shared" si="19"/>
        <v>269.35621530004846</v>
      </c>
      <c r="I48" s="32">
        <f t="shared" si="19"/>
        <v>271.66084768566418</v>
      </c>
    </row>
    <row r="49" spans="1:9" ht="20" thickBot="1" x14ac:dyDescent="0.3">
      <c r="A49" s="27" t="s">
        <v>298</v>
      </c>
      <c r="B49" s="93">
        <f>B47-B48</f>
        <v>-34.843826879538767</v>
      </c>
      <c r="C49" s="94">
        <f t="shared" ref="C49:I49" si="20">C47-C48</f>
        <v>-23.889943897453293</v>
      </c>
      <c r="D49" s="93">
        <f t="shared" si="20"/>
        <v>-22.726170291299525</v>
      </c>
      <c r="E49" s="93">
        <f t="shared" si="20"/>
        <v>-23.776500557554584</v>
      </c>
      <c r="F49" s="93">
        <f t="shared" si="20"/>
        <v>-20.191321521043506</v>
      </c>
      <c r="G49" s="93">
        <f t="shared" si="20"/>
        <v>-24.006340432951845</v>
      </c>
      <c r="H49" s="93">
        <f t="shared" si="20"/>
        <v>-23.437034879118954</v>
      </c>
      <c r="I49" s="93">
        <f t="shared" si="20"/>
        <v>-30.416299021652435</v>
      </c>
    </row>
    <row r="50" spans="1:9" ht="20" thickTop="1" x14ac:dyDescent="0.25">
      <c r="C50" s="70"/>
    </row>
    <row r="51" spans="1:9" x14ac:dyDescent="0.25">
      <c r="A51" s="27" t="s">
        <v>289</v>
      </c>
      <c r="C51" s="70"/>
    </row>
    <row r="52" spans="1:9" x14ac:dyDescent="0.25">
      <c r="A52" s="18" t="s">
        <v>290</v>
      </c>
      <c r="B52" s="69">
        <f t="shared" ref="B52:C52" si="21">1-B44</f>
        <v>9.9999999999999978E-2</v>
      </c>
      <c r="C52" s="76">
        <f t="shared" si="21"/>
        <v>9.9999999999999978E-2</v>
      </c>
      <c r="D52" s="69">
        <f>1-D44</f>
        <v>9.9999999999999978E-2</v>
      </c>
      <c r="E52" s="69">
        <f t="shared" ref="E52:I52" si="22">1-E44</f>
        <v>9.9999999999999978E-2</v>
      </c>
      <c r="F52" s="69">
        <f t="shared" si="22"/>
        <v>9.9999999999999978E-2</v>
      </c>
      <c r="G52" s="69">
        <f t="shared" si="22"/>
        <v>0.10399999999999998</v>
      </c>
      <c r="H52" s="69">
        <f t="shared" si="22"/>
        <v>0.10499999999999998</v>
      </c>
      <c r="I52" s="69">
        <f t="shared" si="22"/>
        <v>0.12</v>
      </c>
    </row>
    <row r="53" spans="1:9" x14ac:dyDescent="0.25">
      <c r="A53" s="18" t="s">
        <v>291</v>
      </c>
      <c r="B53" s="53">
        <f t="shared" ref="B53:I53" si="23">B52*B31</f>
        <v>710978.79999999981</v>
      </c>
      <c r="C53" s="82">
        <f t="shared" si="23"/>
        <v>728693.39999999979</v>
      </c>
      <c r="D53" s="53">
        <f t="shared" si="23"/>
        <v>2962218.7999999993</v>
      </c>
      <c r="E53" s="53">
        <f t="shared" si="23"/>
        <v>3031461.8999999994</v>
      </c>
      <c r="F53" s="53">
        <f t="shared" si="23"/>
        <v>3017269.8999999994</v>
      </c>
      <c r="G53" s="53">
        <f t="shared" si="23"/>
        <v>3061271.6159999995</v>
      </c>
      <c r="H53" s="53">
        <f t="shared" si="23"/>
        <v>2968466.8649999993</v>
      </c>
      <c r="I53" s="53">
        <f t="shared" si="23"/>
        <v>3259505.4</v>
      </c>
    </row>
    <row r="54" spans="1:9" x14ac:dyDescent="0.25">
      <c r="A54" s="18" t="s">
        <v>292</v>
      </c>
      <c r="B54" s="53">
        <f t="shared" ref="B54:I54" si="24">B9</f>
        <v>834579</v>
      </c>
      <c r="C54" s="82">
        <f t="shared" si="24"/>
        <v>835479</v>
      </c>
      <c r="D54" s="53">
        <f t="shared" si="24"/>
        <v>3397697</v>
      </c>
      <c r="E54" s="53">
        <f t="shared" si="24"/>
        <v>3370562</v>
      </c>
      <c r="F54" s="53">
        <f t="shared" si="24"/>
        <v>3286089</v>
      </c>
      <c r="G54" s="53">
        <f t="shared" si="24"/>
        <v>3176413</v>
      </c>
      <c r="H54" s="53">
        <f t="shared" si="24"/>
        <v>3117920</v>
      </c>
      <c r="I54" s="53">
        <f t="shared" si="24"/>
        <v>3355066</v>
      </c>
    </row>
    <row r="55" spans="1:9" x14ac:dyDescent="0.25">
      <c r="A55" s="27" t="s">
        <v>293</v>
      </c>
      <c r="B55" s="85">
        <f t="shared" ref="B55:C55" si="25">B54*1000/B53</f>
        <v>1173.8451273090002</v>
      </c>
      <c r="C55" s="89">
        <f t="shared" si="25"/>
        <v>1146.543937409067</v>
      </c>
      <c r="D55" s="85">
        <f>D54*1000/D53</f>
        <v>1147.0108150012418</v>
      </c>
      <c r="E55" s="85">
        <f t="shared" ref="E55:I55" si="26">E54*1000/E53</f>
        <v>1111.8602546184072</v>
      </c>
      <c r="F55" s="85">
        <f t="shared" si="26"/>
        <v>1089.0934881231542</v>
      </c>
      <c r="G55" s="85">
        <f t="shared" si="26"/>
        <v>1037.6122730822722</v>
      </c>
      <c r="H55" s="85">
        <f t="shared" si="26"/>
        <v>1050.3469103065097</v>
      </c>
      <c r="I55" s="85">
        <f t="shared" si="26"/>
        <v>1029.3175154733599</v>
      </c>
    </row>
    <row r="56" spans="1:9" x14ac:dyDescent="0.25">
      <c r="A56" s="18" t="s">
        <v>294</v>
      </c>
      <c r="B56" s="32">
        <f>B40</f>
        <v>305.91629455055482</v>
      </c>
      <c r="C56" s="33">
        <f t="shared" ref="C56:I56" si="27">C40</f>
        <v>290.38275905888543</v>
      </c>
      <c r="D56" s="32">
        <f t="shared" si="27"/>
        <v>294.44145044248592</v>
      </c>
      <c r="E56" s="32">
        <f t="shared" si="27"/>
        <v>289.46430103574778</v>
      </c>
      <c r="F56" s="32">
        <f t="shared" si="27"/>
        <v>286.98128728888327</v>
      </c>
      <c r="G56" s="32">
        <f t="shared" si="27"/>
        <v>294.71412967231458</v>
      </c>
      <c r="H56" s="32">
        <f t="shared" si="27"/>
        <v>269.35621530004846</v>
      </c>
      <c r="I56" s="32">
        <f t="shared" si="27"/>
        <v>271.66084768566418</v>
      </c>
    </row>
    <row r="57" spans="1:9" ht="20" thickBot="1" x14ac:dyDescent="0.3">
      <c r="A57" s="27" t="s">
        <v>299</v>
      </c>
      <c r="B57" s="93">
        <f>B55-B56</f>
        <v>867.92883275844542</v>
      </c>
      <c r="C57" s="94">
        <f t="shared" ref="C57:I57" si="28">C55-C56</f>
        <v>856.16117835018156</v>
      </c>
      <c r="D57" s="93">
        <f t="shared" si="28"/>
        <v>852.56936455875586</v>
      </c>
      <c r="E57" s="93">
        <f t="shared" si="28"/>
        <v>822.39595358265944</v>
      </c>
      <c r="F57" s="93">
        <f t="shared" si="28"/>
        <v>802.11220083427088</v>
      </c>
      <c r="G57" s="93">
        <f t="shared" si="28"/>
        <v>742.89814340995758</v>
      </c>
      <c r="H57" s="93">
        <f t="shared" si="28"/>
        <v>780.99069500646124</v>
      </c>
      <c r="I57" s="93">
        <f t="shared" si="28"/>
        <v>757.65666778769571</v>
      </c>
    </row>
    <row r="58" spans="1:9" ht="20" thickTop="1" x14ac:dyDescent="0.25">
      <c r="A58" s="27"/>
      <c r="B58" s="85"/>
      <c r="C58" s="89"/>
      <c r="D58" s="85"/>
      <c r="E58" s="85"/>
      <c r="F58" s="85"/>
      <c r="G58" s="85"/>
      <c r="H58" s="85"/>
      <c r="I58" s="85"/>
    </row>
    <row r="59" spans="1:9" x14ac:dyDescent="0.25">
      <c r="A59" s="27" t="s">
        <v>272</v>
      </c>
      <c r="B59" s="83">
        <f>B55/B47</f>
        <v>4.3303738568301364</v>
      </c>
      <c r="C59" s="84">
        <f t="shared" ref="C59:I59" si="29">C55/C47</f>
        <v>4.3023446493840005</v>
      </c>
      <c r="D59" s="83">
        <f t="shared" si="29"/>
        <v>4.2213703048390512</v>
      </c>
      <c r="E59" s="83">
        <f t="shared" si="29"/>
        <v>4.1848374393451504</v>
      </c>
      <c r="F59" s="83">
        <f t="shared" si="29"/>
        <v>4.0822130809480361</v>
      </c>
      <c r="G59" s="83">
        <f t="shared" si="29"/>
        <v>3.8329605365171235</v>
      </c>
      <c r="H59" s="83">
        <f t="shared" si="29"/>
        <v>4.2711060947286628</v>
      </c>
      <c r="I59" s="83">
        <f t="shared" si="29"/>
        <v>4.2666975116064494</v>
      </c>
    </row>
    <row r="61" spans="1:9" x14ac:dyDescent="0.25">
      <c r="B61" s="78"/>
    </row>
    <row r="63" spans="1:9" x14ac:dyDescent="0.25">
      <c r="B63" s="23"/>
    </row>
  </sheetData>
  <mergeCells count="3">
    <mergeCell ref="A3:A4"/>
    <mergeCell ref="B3:C3"/>
    <mergeCell ref="D3:I3"/>
  </mergeCells>
  <pageMargins left="0.75" right="0.75" top="1" bottom="1" header="0.5" footer="0.5"/>
  <pageSetup orientation="portrait" horizontalDpi="0" verticalDpi="0" r:id="rId1"/>
  <ignoredErrors>
    <ignoredError sqref="D46 E46:I46 B46:C4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0DF52-F70A-B041-90D6-DDF752D089A8}">
  <dimension ref="A1:H28"/>
  <sheetViews>
    <sheetView workbookViewId="0">
      <pane ySplit="4" topLeftCell="A5" activePane="bottomLeft" state="frozen"/>
      <selection pane="bottomLeft" activeCell="B25" sqref="B25"/>
    </sheetView>
  </sheetViews>
  <sheetFormatPr baseColWidth="10" defaultColWidth="9.1640625" defaultRowHeight="19" x14ac:dyDescent="0.25"/>
  <cols>
    <col min="1" max="1" width="49.6640625" style="18" bestFit="1" customWidth="1"/>
    <col min="2" max="3" width="13.83203125" style="18" customWidth="1"/>
    <col min="4" max="4" width="13.1640625" style="18" bestFit="1" customWidth="1"/>
    <col min="5" max="7" width="13.1640625" style="18" customWidth="1"/>
    <col min="8" max="8" width="12.83203125" style="18" bestFit="1" customWidth="1"/>
    <col min="9" max="16384" width="9.1640625" style="18"/>
  </cols>
  <sheetData>
    <row r="1" spans="1:8" ht="21" x14ac:dyDescent="0.25">
      <c r="A1" s="65" t="s">
        <v>301</v>
      </c>
      <c r="B1" s="72"/>
      <c r="C1" s="72"/>
      <c r="D1" s="72"/>
    </row>
    <row r="2" spans="1:8" x14ac:dyDescent="0.25">
      <c r="A2" s="4" t="s">
        <v>300</v>
      </c>
      <c r="B2" s="8"/>
    </row>
    <row r="3" spans="1:8" x14ac:dyDescent="0.25">
      <c r="A3" s="106" t="s">
        <v>310</v>
      </c>
      <c r="B3" s="122" t="s">
        <v>244</v>
      </c>
      <c r="C3" s="123"/>
      <c r="D3" s="110" t="s">
        <v>26</v>
      </c>
      <c r="E3" s="108"/>
      <c r="F3" s="108"/>
      <c r="G3" s="108"/>
      <c r="H3" s="108"/>
    </row>
    <row r="4" spans="1:8" x14ac:dyDescent="0.25">
      <c r="A4" s="107"/>
      <c r="B4" s="54">
        <v>2022</v>
      </c>
      <c r="C4" s="55">
        <v>2021</v>
      </c>
      <c r="D4" s="38">
        <v>2021</v>
      </c>
      <c r="E4" s="38">
        <v>2020</v>
      </c>
      <c r="F4" s="38">
        <v>2019</v>
      </c>
      <c r="G4" s="38">
        <v>2018</v>
      </c>
      <c r="H4" s="38">
        <v>2017</v>
      </c>
    </row>
    <row r="5" spans="1:8" x14ac:dyDescent="0.25">
      <c r="A5" s="27" t="s">
        <v>278</v>
      </c>
      <c r="B5" s="23"/>
      <c r="C5" s="26"/>
      <c r="D5" s="48"/>
      <c r="E5" s="48"/>
      <c r="F5" s="48"/>
      <c r="G5" s="48"/>
      <c r="H5" s="48"/>
    </row>
    <row r="6" spans="1:8" x14ac:dyDescent="0.25">
      <c r="A6" s="18" t="s">
        <v>306</v>
      </c>
      <c r="B6" s="23">
        <v>87</v>
      </c>
      <c r="C6" s="24">
        <v>93</v>
      </c>
      <c r="D6" s="124">
        <v>371</v>
      </c>
      <c r="E6" s="105">
        <v>489</v>
      </c>
      <c r="F6" s="125">
        <v>464</v>
      </c>
      <c r="G6" s="125">
        <v>749</v>
      </c>
      <c r="H6" s="125">
        <v>1268</v>
      </c>
    </row>
    <row r="7" spans="1:8" x14ac:dyDescent="0.25">
      <c r="A7" s="18" t="s">
        <v>307</v>
      </c>
      <c r="B7" s="23">
        <v>5</v>
      </c>
      <c r="C7" s="24">
        <v>6</v>
      </c>
      <c r="D7" s="124"/>
      <c r="E7" s="105"/>
      <c r="F7" s="125"/>
      <c r="G7" s="125"/>
      <c r="H7" s="125"/>
    </row>
    <row r="8" spans="1:8" x14ac:dyDescent="0.25">
      <c r="A8" s="18" t="s">
        <v>302</v>
      </c>
      <c r="B8" s="23">
        <v>173</v>
      </c>
      <c r="C8" s="24">
        <v>162</v>
      </c>
      <c r="D8" s="23">
        <v>676</v>
      </c>
      <c r="E8" s="23">
        <v>564</v>
      </c>
      <c r="F8" s="23">
        <v>508</v>
      </c>
      <c r="G8" s="23">
        <v>447</v>
      </c>
      <c r="H8" s="23">
        <v>328</v>
      </c>
    </row>
    <row r="9" spans="1:8" ht="20" thickBot="1" x14ac:dyDescent="0.3">
      <c r="A9" s="27" t="s">
        <v>304</v>
      </c>
      <c r="B9" s="30">
        <f>SUM(B6:B8)</f>
        <v>265</v>
      </c>
      <c r="C9" s="31">
        <f t="shared" ref="C9:H9" si="0">SUM(C6:C8)</f>
        <v>261</v>
      </c>
      <c r="D9" s="30">
        <f>SUM(D6:D8)</f>
        <v>1047</v>
      </c>
      <c r="E9" s="30">
        <f>SUM(E6:E8)</f>
        <v>1053</v>
      </c>
      <c r="F9" s="30">
        <f t="shared" si="0"/>
        <v>972</v>
      </c>
      <c r="G9" s="30">
        <f t="shared" si="0"/>
        <v>1196</v>
      </c>
      <c r="H9" s="30">
        <f t="shared" si="0"/>
        <v>1596</v>
      </c>
    </row>
    <row r="10" spans="1:8" ht="20" thickTop="1" x14ac:dyDescent="0.25">
      <c r="B10" s="23"/>
      <c r="C10" s="24"/>
      <c r="D10" s="23"/>
      <c r="E10" s="23"/>
      <c r="F10" s="23"/>
      <c r="G10" s="23"/>
      <c r="H10" s="23"/>
    </row>
    <row r="11" spans="1:8" x14ac:dyDescent="0.25">
      <c r="A11" s="27" t="s">
        <v>303</v>
      </c>
      <c r="B11" s="23"/>
      <c r="C11" s="24"/>
      <c r="D11" s="23"/>
      <c r="E11" s="23"/>
      <c r="F11" s="23"/>
      <c r="G11" s="23"/>
      <c r="H11" s="23"/>
    </row>
    <row r="12" spans="1:8" x14ac:dyDescent="0.25">
      <c r="A12" s="18" t="s">
        <v>306</v>
      </c>
      <c r="B12" s="23">
        <v>-37</v>
      </c>
      <c r="C12" s="24">
        <v>-27</v>
      </c>
      <c r="D12" s="124">
        <v>-108</v>
      </c>
      <c r="E12" s="105">
        <v>-99</v>
      </c>
      <c r="F12" s="105">
        <v>-66</v>
      </c>
      <c r="G12" s="105">
        <v>-70</v>
      </c>
      <c r="H12" s="105">
        <v>-110</v>
      </c>
    </row>
    <row r="13" spans="1:8" x14ac:dyDescent="0.25">
      <c r="A13" s="18" t="s">
        <v>307</v>
      </c>
      <c r="B13" s="23">
        <v>-3</v>
      </c>
      <c r="C13" s="24">
        <v>1</v>
      </c>
      <c r="D13" s="124"/>
      <c r="E13" s="105"/>
      <c r="F13" s="105"/>
      <c r="G13" s="105"/>
      <c r="H13" s="105"/>
    </row>
    <row r="14" spans="1:8" x14ac:dyDescent="0.25">
      <c r="A14" s="18" t="s">
        <v>302</v>
      </c>
      <c r="B14" s="23">
        <v>8</v>
      </c>
      <c r="C14" s="24">
        <v>13</v>
      </c>
      <c r="D14" s="23">
        <v>42</v>
      </c>
      <c r="E14" s="23">
        <v>23</v>
      </c>
      <c r="F14" s="23">
        <v>-123</v>
      </c>
      <c r="G14" s="23">
        <v>-23</v>
      </c>
      <c r="H14" s="23">
        <v>-329</v>
      </c>
    </row>
    <row r="15" spans="1:8" ht="20" thickBot="1" x14ac:dyDescent="0.3">
      <c r="A15" s="27" t="s">
        <v>305</v>
      </c>
      <c r="B15" s="30">
        <f>SUM(B12:B14)</f>
        <v>-32</v>
      </c>
      <c r="C15" s="31">
        <f>SUM(C12:C14)</f>
        <v>-13</v>
      </c>
      <c r="D15" s="30">
        <f>SUM(D12:D14)</f>
        <v>-66</v>
      </c>
      <c r="E15" s="30">
        <f t="shared" ref="E15:H15" si="1">SUM(E12:E14)</f>
        <v>-76</v>
      </c>
      <c r="F15" s="30">
        <f t="shared" si="1"/>
        <v>-189</v>
      </c>
      <c r="G15" s="30">
        <f t="shared" si="1"/>
        <v>-93</v>
      </c>
      <c r="H15" s="30">
        <f t="shared" si="1"/>
        <v>-439</v>
      </c>
    </row>
    <row r="16" spans="1:8" ht="20" thickTop="1" x14ac:dyDescent="0.25">
      <c r="B16" s="23"/>
      <c r="C16" s="23"/>
      <c r="D16" s="23"/>
      <c r="E16" s="23"/>
      <c r="F16" s="23"/>
      <c r="G16" s="23"/>
      <c r="H16" s="23"/>
    </row>
    <row r="17" spans="2:8" x14ac:dyDescent="0.25">
      <c r="B17" s="23"/>
      <c r="C17" s="23"/>
      <c r="D17" s="23"/>
      <c r="E17" s="23"/>
      <c r="F17" s="23"/>
      <c r="G17" s="23"/>
      <c r="H17" s="23"/>
    </row>
    <row r="18" spans="2:8" x14ac:dyDescent="0.25">
      <c r="B18" s="23"/>
      <c r="C18" s="23"/>
      <c r="D18" s="23"/>
      <c r="E18" s="23"/>
      <c r="F18" s="23"/>
      <c r="G18" s="23"/>
      <c r="H18" s="23"/>
    </row>
    <row r="19" spans="2:8" x14ac:dyDescent="0.25">
      <c r="B19" s="23"/>
      <c r="C19" s="23"/>
      <c r="D19" s="23"/>
      <c r="E19" s="23"/>
      <c r="F19" s="23"/>
      <c r="G19" s="23"/>
      <c r="H19" s="23"/>
    </row>
    <row r="20" spans="2:8" x14ac:dyDescent="0.25">
      <c r="B20" s="23"/>
      <c r="C20" s="23"/>
      <c r="D20" s="23"/>
      <c r="E20" s="23"/>
      <c r="F20" s="23"/>
      <c r="G20" s="23"/>
      <c r="H20" s="23"/>
    </row>
    <row r="21" spans="2:8" x14ac:dyDescent="0.25">
      <c r="B21" s="23"/>
      <c r="C21" s="23"/>
      <c r="D21" s="23"/>
      <c r="E21" s="23"/>
      <c r="F21" s="23"/>
      <c r="G21" s="23"/>
      <c r="H21" s="23"/>
    </row>
    <row r="22" spans="2:8" x14ac:dyDescent="0.25">
      <c r="B22" s="23"/>
      <c r="C22" s="23"/>
      <c r="D22" s="23"/>
      <c r="E22" s="23"/>
      <c r="F22" s="23"/>
      <c r="G22" s="23"/>
      <c r="H22" s="23"/>
    </row>
    <row r="23" spans="2:8" x14ac:dyDescent="0.25">
      <c r="B23" s="23"/>
      <c r="C23" s="23"/>
      <c r="D23" s="23"/>
      <c r="E23" s="23"/>
      <c r="F23" s="23"/>
      <c r="G23" s="23"/>
      <c r="H23" s="23"/>
    </row>
    <row r="24" spans="2:8" x14ac:dyDescent="0.25">
      <c r="B24" s="23"/>
      <c r="C24" s="23"/>
      <c r="D24" s="23"/>
      <c r="E24" s="23"/>
      <c r="F24" s="23"/>
      <c r="G24" s="23"/>
      <c r="H24" s="23"/>
    </row>
    <row r="25" spans="2:8" x14ac:dyDescent="0.25">
      <c r="B25" s="23"/>
      <c r="C25" s="23"/>
      <c r="D25" s="23"/>
      <c r="E25" s="23"/>
      <c r="F25" s="23"/>
      <c r="G25" s="23"/>
      <c r="H25" s="23"/>
    </row>
    <row r="26" spans="2:8" x14ac:dyDescent="0.25">
      <c r="B26" s="23"/>
      <c r="C26" s="23"/>
      <c r="D26" s="23"/>
      <c r="E26" s="23"/>
      <c r="F26" s="23"/>
      <c r="G26" s="23"/>
      <c r="H26" s="23"/>
    </row>
    <row r="27" spans="2:8" x14ac:dyDescent="0.25">
      <c r="B27" s="23"/>
      <c r="C27" s="23"/>
      <c r="D27" s="23"/>
      <c r="E27" s="23"/>
      <c r="F27" s="23"/>
      <c r="G27" s="23"/>
      <c r="H27" s="23"/>
    </row>
    <row r="28" spans="2:8" x14ac:dyDescent="0.25">
      <c r="B28" s="23"/>
      <c r="C28" s="23"/>
      <c r="D28" s="23"/>
      <c r="E28" s="23"/>
      <c r="F28" s="23"/>
      <c r="G28" s="23"/>
      <c r="H28" s="23"/>
    </row>
  </sheetData>
  <mergeCells count="13">
    <mergeCell ref="A3:A4"/>
    <mergeCell ref="B3:C3"/>
    <mergeCell ref="D3:H3"/>
    <mergeCell ref="H6:H7"/>
    <mergeCell ref="G6:G7"/>
    <mergeCell ref="F6:F7"/>
    <mergeCell ref="E6:E7"/>
    <mergeCell ref="D6:D7"/>
    <mergeCell ref="H12:H13"/>
    <mergeCell ref="G12:G13"/>
    <mergeCell ref="F12:F13"/>
    <mergeCell ref="E12:E13"/>
    <mergeCell ref="D12:D13"/>
  </mergeCells>
  <pageMargins left="0.75" right="0.75" top="1" bottom="1" header="0.5" footer="0.5"/>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2"/>
  <sheetViews>
    <sheetView workbookViewId="0">
      <pane ySplit="4" topLeftCell="A5" activePane="bottomLeft" state="frozen"/>
      <selection pane="bottomLeft"/>
    </sheetView>
  </sheetViews>
  <sheetFormatPr baseColWidth="10" defaultColWidth="9.1640625" defaultRowHeight="19" x14ac:dyDescent="0.25"/>
  <cols>
    <col min="1" max="1" width="81.6640625" style="18" bestFit="1" customWidth="1"/>
    <col min="2" max="3" width="9" style="18" bestFit="1" customWidth="1"/>
    <col min="4" max="10" width="10" style="18" bestFit="1" customWidth="1"/>
    <col min="11" max="19" width="7.83203125" style="18" bestFit="1" customWidth="1"/>
    <col min="20" max="20" width="9.1640625" style="18"/>
    <col min="21" max="21" width="10.5" style="18" bestFit="1" customWidth="1"/>
    <col min="22" max="16384" width="9.1640625" style="18"/>
  </cols>
  <sheetData>
    <row r="1" spans="1:19" ht="21" x14ac:dyDescent="0.25">
      <c r="A1" s="65" t="s">
        <v>32</v>
      </c>
      <c r="B1" s="72"/>
      <c r="C1" s="72"/>
      <c r="D1" s="3"/>
      <c r="E1" s="3"/>
      <c r="F1" s="3"/>
      <c r="G1" s="3"/>
      <c r="H1" s="3"/>
      <c r="I1" s="3"/>
    </row>
    <row r="2" spans="1:19" x14ac:dyDescent="0.25">
      <c r="A2" s="4" t="s">
        <v>263</v>
      </c>
      <c r="B2" s="4"/>
      <c r="C2" s="4"/>
      <c r="D2" s="4"/>
      <c r="E2" s="4"/>
      <c r="F2" s="4"/>
      <c r="G2" s="4"/>
      <c r="H2" s="4"/>
      <c r="I2" s="4"/>
    </row>
    <row r="3" spans="1:19" x14ac:dyDescent="0.25">
      <c r="A3" s="122"/>
      <c r="B3" s="122" t="s">
        <v>270</v>
      </c>
      <c r="C3" s="123"/>
      <c r="D3" s="110" t="s">
        <v>26</v>
      </c>
      <c r="E3" s="108"/>
      <c r="F3" s="108"/>
      <c r="G3" s="108"/>
      <c r="H3" s="108"/>
      <c r="I3" s="1"/>
      <c r="J3" s="1"/>
      <c r="K3" s="1"/>
      <c r="L3" s="1"/>
      <c r="M3" s="1"/>
      <c r="N3" s="1"/>
      <c r="O3" s="1"/>
      <c r="P3" s="1"/>
      <c r="Q3" s="1"/>
      <c r="R3" s="1"/>
      <c r="S3" s="1"/>
    </row>
    <row r="4" spans="1:19" x14ac:dyDescent="0.25">
      <c r="A4" s="126"/>
      <c r="B4" s="6">
        <v>44651</v>
      </c>
      <c r="C4" s="37">
        <v>44286</v>
      </c>
      <c r="D4" s="38">
        <v>2021</v>
      </c>
      <c r="E4" s="38">
        <v>2020</v>
      </c>
      <c r="F4" s="38">
        <v>2019</v>
      </c>
      <c r="G4" s="38">
        <v>2018</v>
      </c>
      <c r="H4" s="38">
        <v>2017</v>
      </c>
      <c r="I4" s="38">
        <v>2016</v>
      </c>
      <c r="J4" s="38">
        <v>2015</v>
      </c>
      <c r="K4" s="38">
        <v>2014</v>
      </c>
      <c r="L4" s="38">
        <v>2013</v>
      </c>
      <c r="M4" s="38">
        <v>2012</v>
      </c>
      <c r="N4" s="38">
        <v>2011</v>
      </c>
      <c r="O4" s="38">
        <v>2010</v>
      </c>
      <c r="P4" s="38">
        <v>2009</v>
      </c>
      <c r="Q4" s="38">
        <v>2008</v>
      </c>
      <c r="R4" s="38">
        <v>2007</v>
      </c>
      <c r="S4" s="38">
        <v>2006</v>
      </c>
    </row>
    <row r="5" spans="1:19" x14ac:dyDescent="0.25">
      <c r="A5" s="27" t="s">
        <v>149</v>
      </c>
      <c r="B5" s="27"/>
      <c r="C5" s="73"/>
      <c r="D5" s="27"/>
      <c r="E5" s="27"/>
      <c r="F5" s="27"/>
      <c r="G5" s="27"/>
      <c r="H5" s="27"/>
      <c r="I5" s="27"/>
      <c r="J5" s="34"/>
      <c r="K5" s="34"/>
      <c r="L5" s="34"/>
      <c r="M5" s="34"/>
      <c r="N5" s="34"/>
    </row>
    <row r="6" spans="1:19" x14ac:dyDescent="0.25">
      <c r="A6" s="18" t="s">
        <v>150</v>
      </c>
      <c r="B6" s="60">
        <v>2815</v>
      </c>
      <c r="C6" s="64">
        <v>2816</v>
      </c>
      <c r="D6" s="57">
        <v>2816</v>
      </c>
      <c r="E6" s="57">
        <v>2753</v>
      </c>
      <c r="F6" s="57">
        <v>2664</v>
      </c>
      <c r="G6" s="57">
        <v>2510</v>
      </c>
      <c r="H6" s="57">
        <v>2350</v>
      </c>
      <c r="I6" s="57">
        <v>2251</v>
      </c>
      <c r="J6" s="57">
        <v>2179</v>
      </c>
      <c r="K6" s="57">
        <v>2074</v>
      </c>
      <c r="L6" s="57">
        <v>1954</v>
      </c>
      <c r="M6" s="57">
        <v>1809</v>
      </c>
      <c r="N6" s="57">
        <v>1612</v>
      </c>
      <c r="O6" s="23">
        <v>1530</v>
      </c>
      <c r="P6" s="23">
        <v>1449</v>
      </c>
      <c r="Q6" s="23">
        <v>1359</v>
      </c>
      <c r="R6" s="23">
        <v>1300</v>
      </c>
      <c r="S6" s="23">
        <v>1233</v>
      </c>
    </row>
    <row r="7" spans="1:19" x14ac:dyDescent="0.25">
      <c r="A7" s="18" t="s">
        <v>151</v>
      </c>
      <c r="B7" s="60">
        <v>0</v>
      </c>
      <c r="C7" s="64">
        <v>0</v>
      </c>
      <c r="D7" s="57">
        <v>19</v>
      </c>
      <c r="E7" s="57">
        <v>8</v>
      </c>
      <c r="F7" s="57">
        <v>7</v>
      </c>
      <c r="G7" s="57">
        <v>18</v>
      </c>
      <c r="H7" s="57">
        <v>66</v>
      </c>
      <c r="I7" s="57">
        <v>8</v>
      </c>
      <c r="J7" s="57">
        <v>6</v>
      </c>
      <c r="K7" s="57">
        <v>18</v>
      </c>
      <c r="L7" s="57">
        <v>26</v>
      </c>
      <c r="M7" s="57">
        <v>93</v>
      </c>
      <c r="N7" s="57">
        <v>170</v>
      </c>
      <c r="O7" s="23">
        <v>41</v>
      </c>
      <c r="P7" s="23">
        <v>19</v>
      </c>
      <c r="Q7" s="23">
        <v>20</v>
      </c>
      <c r="R7" s="23">
        <v>16</v>
      </c>
      <c r="S7" s="23">
        <v>26</v>
      </c>
    </row>
    <row r="8" spans="1:19" x14ac:dyDescent="0.25">
      <c r="A8" s="18" t="s">
        <v>152</v>
      </c>
      <c r="B8" s="60">
        <v>9</v>
      </c>
      <c r="C8" s="64">
        <v>18</v>
      </c>
      <c r="D8" s="57">
        <v>42</v>
      </c>
      <c r="E8" s="57">
        <v>81</v>
      </c>
      <c r="F8" s="57">
        <v>115</v>
      </c>
      <c r="G8" s="57">
        <v>152</v>
      </c>
      <c r="H8" s="57">
        <v>121</v>
      </c>
      <c r="I8" s="57">
        <v>100</v>
      </c>
      <c r="J8" s="57">
        <v>72</v>
      </c>
      <c r="K8" s="57">
        <v>105</v>
      </c>
      <c r="L8" s="57">
        <v>98</v>
      </c>
      <c r="M8" s="57">
        <v>70</v>
      </c>
      <c r="N8" s="57">
        <v>65</v>
      </c>
      <c r="O8" s="23">
        <v>65</v>
      </c>
      <c r="P8" s="23">
        <v>78</v>
      </c>
      <c r="Q8" s="23">
        <v>86</v>
      </c>
      <c r="R8" s="23">
        <v>64</v>
      </c>
      <c r="S8" s="23">
        <v>55</v>
      </c>
    </row>
    <row r="9" spans="1:19" x14ac:dyDescent="0.25">
      <c r="A9" s="18" t="s">
        <v>153</v>
      </c>
      <c r="B9" s="60">
        <v>0</v>
      </c>
      <c r="C9" s="64">
        <v>0</v>
      </c>
      <c r="D9" s="57">
        <v>3</v>
      </c>
      <c r="E9" s="57">
        <v>0</v>
      </c>
      <c r="F9" s="57">
        <v>-1</v>
      </c>
      <c r="G9" s="57">
        <v>-5</v>
      </c>
      <c r="H9" s="57">
        <v>-2</v>
      </c>
      <c r="I9" s="57">
        <v>0</v>
      </c>
      <c r="J9" s="57">
        <v>2</v>
      </c>
      <c r="K9" s="57">
        <v>0</v>
      </c>
      <c r="L9" s="57">
        <v>4</v>
      </c>
      <c r="M9" s="57">
        <v>-8</v>
      </c>
      <c r="N9" s="57">
        <v>1</v>
      </c>
      <c r="O9" s="23">
        <v>0</v>
      </c>
      <c r="P9" s="23">
        <v>8</v>
      </c>
      <c r="Q9" s="23">
        <v>1</v>
      </c>
      <c r="R9" s="23">
        <v>-15</v>
      </c>
      <c r="S9" s="23">
        <v>0</v>
      </c>
    </row>
    <row r="10" spans="1:19" x14ac:dyDescent="0.25">
      <c r="A10" s="18" t="s">
        <v>156</v>
      </c>
      <c r="B10" s="60">
        <v>-5</v>
      </c>
      <c r="C10" s="64">
        <v>-1</v>
      </c>
      <c r="D10" s="57">
        <v>-11</v>
      </c>
      <c r="E10" s="57">
        <v>-6</v>
      </c>
      <c r="F10" s="57">
        <v>-10</v>
      </c>
      <c r="G10" s="57">
        <v>-9</v>
      </c>
      <c r="H10" s="57">
        <v>-15</v>
      </c>
      <c r="I10" s="57">
        <v>-4</v>
      </c>
      <c r="J10" s="57">
        <v>-3</v>
      </c>
      <c r="K10" s="57">
        <v>-2</v>
      </c>
      <c r="L10" s="57">
        <v>-5</v>
      </c>
      <c r="M10" s="57">
        <v>-1</v>
      </c>
      <c r="N10" s="57">
        <v>-32</v>
      </c>
      <c r="O10" s="23">
        <v>-10</v>
      </c>
      <c r="P10" s="23">
        <v>-8</v>
      </c>
      <c r="Q10" s="23">
        <v>-9</v>
      </c>
      <c r="R10" s="23">
        <v>-4</v>
      </c>
      <c r="S10" s="23">
        <v>-5</v>
      </c>
    </row>
    <row r="11" spans="1:19" x14ac:dyDescent="0.25">
      <c r="A11" s="18" t="s">
        <v>155</v>
      </c>
      <c r="B11" s="60">
        <v>-10</v>
      </c>
      <c r="C11" s="64">
        <v>-6</v>
      </c>
      <c r="D11" s="57">
        <v>-54</v>
      </c>
      <c r="E11" s="57">
        <v>-20</v>
      </c>
      <c r="F11" s="57">
        <v>-22</v>
      </c>
      <c r="G11" s="57">
        <v>-2</v>
      </c>
      <c r="H11" s="57">
        <v>-10</v>
      </c>
      <c r="I11" s="57">
        <v>-5</v>
      </c>
      <c r="J11" s="57">
        <v>-5</v>
      </c>
      <c r="K11" s="57">
        <v>-16</v>
      </c>
      <c r="L11" s="57">
        <v>-3</v>
      </c>
      <c r="M11" s="57">
        <v>-9</v>
      </c>
      <c r="N11" s="57">
        <v>-7</v>
      </c>
      <c r="O11" s="23">
        <v>-14</v>
      </c>
      <c r="P11" s="23">
        <v>-16</v>
      </c>
      <c r="Q11" s="23">
        <v>-8</v>
      </c>
      <c r="R11" s="23">
        <v>-2</v>
      </c>
      <c r="S11" s="23">
        <v>-9</v>
      </c>
    </row>
    <row r="12" spans="1:19" ht="20" thickBot="1" x14ac:dyDescent="0.3">
      <c r="A12" s="27" t="s">
        <v>157</v>
      </c>
      <c r="B12" s="58">
        <f t="shared" ref="B12:C12" si="0">SUM(B6:B11)</f>
        <v>2809</v>
      </c>
      <c r="C12" s="74">
        <f t="shared" si="0"/>
        <v>2827</v>
      </c>
      <c r="D12" s="58">
        <f t="shared" ref="D12:I12" si="1">SUM(D6:D11)</f>
        <v>2815</v>
      </c>
      <c r="E12" s="58">
        <f t="shared" si="1"/>
        <v>2816</v>
      </c>
      <c r="F12" s="58">
        <f t="shared" si="1"/>
        <v>2753</v>
      </c>
      <c r="G12" s="58">
        <f t="shared" si="1"/>
        <v>2664</v>
      </c>
      <c r="H12" s="58">
        <f t="shared" si="1"/>
        <v>2510</v>
      </c>
      <c r="I12" s="58">
        <f t="shared" si="1"/>
        <v>2350</v>
      </c>
      <c r="J12" s="58">
        <f t="shared" ref="J12:S12" si="2">SUM(J6:J11)</f>
        <v>2251</v>
      </c>
      <c r="K12" s="58">
        <f t="shared" si="2"/>
        <v>2179</v>
      </c>
      <c r="L12" s="58">
        <f t="shared" si="2"/>
        <v>2074</v>
      </c>
      <c r="M12" s="58">
        <f t="shared" si="2"/>
        <v>1954</v>
      </c>
      <c r="N12" s="58">
        <f t="shared" si="2"/>
        <v>1809</v>
      </c>
      <c r="O12" s="58">
        <f t="shared" si="2"/>
        <v>1612</v>
      </c>
      <c r="P12" s="58">
        <f t="shared" si="2"/>
        <v>1530</v>
      </c>
      <c r="Q12" s="58">
        <f t="shared" si="2"/>
        <v>1449</v>
      </c>
      <c r="R12" s="58">
        <f t="shared" si="2"/>
        <v>1359</v>
      </c>
      <c r="S12" s="58">
        <f t="shared" si="2"/>
        <v>1300</v>
      </c>
    </row>
    <row r="13" spans="1:19" ht="20" thickTop="1" x14ac:dyDescent="0.25">
      <c r="A13" s="49" t="s">
        <v>158</v>
      </c>
      <c r="B13" s="51">
        <f t="shared" ref="B13" si="3">(B12/C12)-1</f>
        <v>-6.3671736823487368E-3</v>
      </c>
      <c r="C13" s="50">
        <f t="shared" ref="C13" si="4">(C12/D12)-1</f>
        <v>4.2628774422734939E-3</v>
      </c>
      <c r="D13" s="59">
        <f t="shared" ref="D13:I13" si="5">(D12/E12)-1</f>
        <v>-3.5511363636364646E-4</v>
      </c>
      <c r="E13" s="59">
        <f t="shared" si="5"/>
        <v>2.2884126407555438E-2</v>
      </c>
      <c r="F13" s="59">
        <f t="shared" si="5"/>
        <v>3.3408408408408308E-2</v>
      </c>
      <c r="G13" s="59">
        <f t="shared" si="5"/>
        <v>6.1354581673306763E-2</v>
      </c>
      <c r="H13" s="59">
        <f t="shared" si="5"/>
        <v>6.8085106382978822E-2</v>
      </c>
      <c r="I13" s="59">
        <f t="shared" si="5"/>
        <v>4.3980453131941433E-2</v>
      </c>
      <c r="J13" s="59">
        <f>(J12/K12)-1</f>
        <v>3.3042680128499313E-2</v>
      </c>
      <c r="K13" s="59">
        <f t="shared" ref="K13:R13" si="6">(K12/L12)-1</f>
        <v>5.0626808100289189E-2</v>
      </c>
      <c r="L13" s="59">
        <f t="shared" si="6"/>
        <v>6.1412487205731781E-2</v>
      </c>
      <c r="M13" s="59">
        <f t="shared" si="6"/>
        <v>8.0154781647318929E-2</v>
      </c>
      <c r="N13" s="59">
        <f t="shared" si="6"/>
        <v>0.12220843672456572</v>
      </c>
      <c r="O13" s="59">
        <f t="shared" si="6"/>
        <v>5.3594771241830097E-2</v>
      </c>
      <c r="P13" s="59">
        <f t="shared" si="6"/>
        <v>5.5900621118012417E-2</v>
      </c>
      <c r="Q13" s="59">
        <f t="shared" si="6"/>
        <v>6.6225165562913801E-2</v>
      </c>
      <c r="R13" s="59">
        <f t="shared" si="6"/>
        <v>4.5384615384615357E-2</v>
      </c>
      <c r="S13" s="23"/>
    </row>
    <row r="14" spans="1:19" x14ac:dyDescent="0.25">
      <c r="C14" s="70"/>
      <c r="J14" s="57"/>
      <c r="K14" s="57"/>
      <c r="L14" s="57"/>
      <c r="M14" s="57"/>
      <c r="N14" s="57"/>
      <c r="O14" s="23"/>
      <c r="P14" s="23"/>
      <c r="Q14" s="23"/>
      <c r="R14" s="23"/>
      <c r="S14" s="23"/>
    </row>
    <row r="15" spans="1:19" x14ac:dyDescent="0.25">
      <c r="A15" s="27" t="s">
        <v>159</v>
      </c>
      <c r="B15" s="27"/>
      <c r="C15" s="73"/>
      <c r="D15" s="27"/>
      <c r="E15" s="27"/>
      <c r="F15" s="27"/>
      <c r="G15" s="27"/>
      <c r="H15" s="27"/>
      <c r="I15" s="27"/>
      <c r="J15" s="57"/>
      <c r="K15" s="57"/>
      <c r="L15" s="57"/>
      <c r="M15" s="57"/>
      <c r="N15" s="57"/>
      <c r="O15" s="23"/>
      <c r="P15" s="23"/>
      <c r="Q15" s="23"/>
      <c r="R15" s="23"/>
      <c r="S15" s="23"/>
    </row>
    <row r="16" spans="1:19" x14ac:dyDescent="0.25">
      <c r="A16" s="18" t="s">
        <v>150</v>
      </c>
      <c r="B16" s="60">
        <v>339</v>
      </c>
      <c r="C16" s="64">
        <v>321</v>
      </c>
      <c r="D16" s="57">
        <v>321</v>
      </c>
      <c r="E16" s="57">
        <v>259</v>
      </c>
      <c r="F16" s="57">
        <v>241</v>
      </c>
      <c r="G16" s="57">
        <v>237</v>
      </c>
      <c r="H16" s="57">
        <v>154</v>
      </c>
      <c r="I16" s="57">
        <v>118</v>
      </c>
      <c r="J16" s="57">
        <v>91</v>
      </c>
      <c r="K16" s="57">
        <v>73</v>
      </c>
      <c r="L16" s="57">
        <v>36</v>
      </c>
      <c r="M16" s="57">
        <v>11</v>
      </c>
      <c r="N16" s="60"/>
      <c r="O16" s="48"/>
      <c r="P16" s="48"/>
      <c r="Q16" s="48"/>
      <c r="R16" s="48"/>
      <c r="S16" s="48"/>
    </row>
    <row r="17" spans="1:23" x14ac:dyDescent="0.25">
      <c r="A17" s="18" t="s">
        <v>151</v>
      </c>
      <c r="B17" s="60">
        <v>3</v>
      </c>
      <c r="C17" s="64">
        <v>2</v>
      </c>
      <c r="D17" s="57">
        <v>17</v>
      </c>
      <c r="E17" s="57">
        <v>66</v>
      </c>
      <c r="F17" s="57">
        <v>16</v>
      </c>
      <c r="G17" s="57">
        <v>28</v>
      </c>
      <c r="H17" s="57">
        <v>68</v>
      </c>
      <c r="I17" s="57">
        <v>21</v>
      </c>
      <c r="J17" s="57">
        <v>21</v>
      </c>
      <c r="K17" s="57">
        <v>9</v>
      </c>
      <c r="L17" s="57">
        <v>38</v>
      </c>
      <c r="M17" s="57">
        <v>13</v>
      </c>
      <c r="N17" s="61"/>
    </row>
    <row r="18" spans="1:23" x14ac:dyDescent="0.25">
      <c r="A18" s="18" t="s">
        <v>160</v>
      </c>
      <c r="B18" s="60">
        <v>1</v>
      </c>
      <c r="C18" s="64">
        <v>2</v>
      </c>
      <c r="D18" s="57">
        <v>7</v>
      </c>
      <c r="E18" s="57">
        <v>5</v>
      </c>
      <c r="F18" s="57">
        <v>2</v>
      </c>
      <c r="G18" s="57">
        <v>3</v>
      </c>
      <c r="H18" s="57">
        <v>8</v>
      </c>
      <c r="I18" s="57">
        <v>12</v>
      </c>
      <c r="J18" s="57">
        <v>7</v>
      </c>
      <c r="K18" s="57">
        <v>11</v>
      </c>
      <c r="L18" s="57">
        <v>2</v>
      </c>
      <c r="M18" s="57">
        <v>9</v>
      </c>
      <c r="N18" s="61"/>
    </row>
    <row r="19" spans="1:23" x14ac:dyDescent="0.25">
      <c r="A19" s="18" t="s">
        <v>161</v>
      </c>
      <c r="B19" s="60">
        <v>3</v>
      </c>
      <c r="C19" s="64">
        <v>1</v>
      </c>
      <c r="D19" s="57">
        <v>0</v>
      </c>
      <c r="E19" s="57">
        <v>-6</v>
      </c>
      <c r="F19" s="57">
        <v>0</v>
      </c>
      <c r="G19" s="57">
        <v>0</v>
      </c>
      <c r="H19" s="57">
        <v>0</v>
      </c>
      <c r="I19" s="57">
        <v>0</v>
      </c>
      <c r="J19" s="57">
        <v>-1</v>
      </c>
      <c r="K19" s="57">
        <v>0</v>
      </c>
      <c r="L19" s="57">
        <v>0</v>
      </c>
      <c r="M19" s="57">
        <v>3</v>
      </c>
      <c r="N19" s="61"/>
    </row>
    <row r="20" spans="1:23" x14ac:dyDescent="0.25">
      <c r="A20" s="18" t="s">
        <v>236</v>
      </c>
      <c r="B20" s="60">
        <v>0</v>
      </c>
      <c r="C20" s="64">
        <v>-3</v>
      </c>
      <c r="D20" s="57">
        <v>-5</v>
      </c>
      <c r="E20" s="57">
        <v>0</v>
      </c>
      <c r="F20" s="57">
        <v>-1</v>
      </c>
      <c r="G20" s="57">
        <v>-2</v>
      </c>
      <c r="H20" s="57">
        <v>-1</v>
      </c>
      <c r="I20" s="57">
        <v>0</v>
      </c>
      <c r="J20" s="57">
        <v>0</v>
      </c>
      <c r="K20" s="57">
        <v>-2</v>
      </c>
      <c r="L20" s="57">
        <v>-3</v>
      </c>
      <c r="M20" s="57">
        <v>0</v>
      </c>
      <c r="N20" s="61"/>
    </row>
    <row r="21" spans="1:23" x14ac:dyDescent="0.25">
      <c r="A21" s="18" t="s">
        <v>154</v>
      </c>
      <c r="B21" s="60">
        <v>0</v>
      </c>
      <c r="C21" s="64">
        <v>0</v>
      </c>
      <c r="D21" s="57">
        <v>-1</v>
      </c>
      <c r="E21" s="57">
        <v>-3</v>
      </c>
      <c r="F21" s="57">
        <v>0</v>
      </c>
      <c r="G21" s="57">
        <v>0</v>
      </c>
      <c r="H21" s="57">
        <v>0</v>
      </c>
      <c r="I21" s="57">
        <v>0</v>
      </c>
      <c r="J21" s="57">
        <v>0</v>
      </c>
      <c r="K21" s="57">
        <v>0</v>
      </c>
      <c r="L21" s="57">
        <v>0</v>
      </c>
      <c r="M21" s="57">
        <v>0</v>
      </c>
      <c r="N21" s="61"/>
    </row>
    <row r="22" spans="1:23" x14ac:dyDescent="0.25">
      <c r="A22" s="18" t="s">
        <v>234</v>
      </c>
      <c r="B22" s="60">
        <v>0</v>
      </c>
      <c r="C22" s="64">
        <v>0</v>
      </c>
      <c r="D22" s="57">
        <v>0</v>
      </c>
      <c r="E22" s="57">
        <v>0</v>
      </c>
      <c r="F22" s="57">
        <v>1</v>
      </c>
      <c r="G22" s="57">
        <v>-25</v>
      </c>
      <c r="H22" s="57">
        <v>8</v>
      </c>
      <c r="I22" s="57">
        <v>66</v>
      </c>
      <c r="J22" s="57">
        <v>0</v>
      </c>
      <c r="K22" s="57">
        <v>0</v>
      </c>
      <c r="L22" s="57">
        <v>0</v>
      </c>
      <c r="M22" s="57">
        <v>0</v>
      </c>
      <c r="N22" s="61"/>
    </row>
    <row r="23" spans="1:23" x14ac:dyDescent="0.25">
      <c r="A23" s="18" t="s">
        <v>235</v>
      </c>
      <c r="B23" s="60">
        <v>0</v>
      </c>
      <c r="C23" s="64">
        <v>0</v>
      </c>
      <c r="D23" s="57">
        <v>0</v>
      </c>
      <c r="E23" s="57">
        <v>0</v>
      </c>
      <c r="F23" s="57">
        <v>0</v>
      </c>
      <c r="G23" s="57">
        <v>0</v>
      </c>
      <c r="H23" s="57">
        <v>0</v>
      </c>
      <c r="I23" s="57">
        <v>-63</v>
      </c>
      <c r="J23" s="57">
        <v>0</v>
      </c>
      <c r="K23" s="57">
        <v>0</v>
      </c>
      <c r="L23" s="57">
        <v>0</v>
      </c>
      <c r="M23" s="57">
        <v>0</v>
      </c>
      <c r="N23" s="61"/>
    </row>
    <row r="24" spans="1:23" ht="20" thickBot="1" x14ac:dyDescent="0.3">
      <c r="A24" s="27" t="s">
        <v>157</v>
      </c>
      <c r="B24" s="58">
        <f t="shared" ref="B24:C24" si="7">SUM(B16:B23)</f>
        <v>346</v>
      </c>
      <c r="C24" s="74">
        <f t="shared" si="7"/>
        <v>323</v>
      </c>
      <c r="D24" s="58">
        <f>SUM(D16:D23)</f>
        <v>339</v>
      </c>
      <c r="E24" s="58">
        <f t="shared" ref="E24:M24" si="8">SUM(E16:E23)</f>
        <v>321</v>
      </c>
      <c r="F24" s="58">
        <f t="shared" si="8"/>
        <v>259</v>
      </c>
      <c r="G24" s="58">
        <f t="shared" si="8"/>
        <v>241</v>
      </c>
      <c r="H24" s="58">
        <f t="shared" si="8"/>
        <v>237</v>
      </c>
      <c r="I24" s="58">
        <f t="shared" si="8"/>
        <v>154</v>
      </c>
      <c r="J24" s="58">
        <f t="shared" si="8"/>
        <v>118</v>
      </c>
      <c r="K24" s="58">
        <f t="shared" si="8"/>
        <v>91</v>
      </c>
      <c r="L24" s="58">
        <f t="shared" si="8"/>
        <v>73</v>
      </c>
      <c r="M24" s="58">
        <f t="shared" si="8"/>
        <v>36</v>
      </c>
      <c r="N24" s="62"/>
      <c r="O24" s="62"/>
      <c r="P24" s="62"/>
      <c r="Q24" s="62"/>
      <c r="R24" s="62"/>
      <c r="S24" s="62"/>
    </row>
    <row r="25" spans="1:23" ht="20" thickTop="1" x14ac:dyDescent="0.25">
      <c r="A25" s="49" t="s">
        <v>158</v>
      </c>
      <c r="B25" s="51">
        <f t="shared" ref="B25" si="9">(B24/C24)-1</f>
        <v>7.120743034055721E-2</v>
      </c>
      <c r="C25" s="50">
        <f t="shared" ref="C25" si="10">(C24/D24)-1</f>
        <v>-4.71976401179941E-2</v>
      </c>
      <c r="D25" s="59">
        <f t="shared" ref="D25:I25" si="11">(D24/E24)-1</f>
        <v>5.6074766355140193E-2</v>
      </c>
      <c r="E25" s="59">
        <f t="shared" si="11"/>
        <v>0.23938223938223935</v>
      </c>
      <c r="F25" s="59">
        <f t="shared" si="11"/>
        <v>7.4688796680497882E-2</v>
      </c>
      <c r="G25" s="59">
        <f t="shared" si="11"/>
        <v>1.6877637130801704E-2</v>
      </c>
      <c r="H25" s="59">
        <f t="shared" si="11"/>
        <v>0.53896103896103886</v>
      </c>
      <c r="I25" s="59">
        <f t="shared" si="11"/>
        <v>0.30508474576271194</v>
      </c>
      <c r="J25" s="59">
        <f>(J24/K24)-1</f>
        <v>0.29670329670329676</v>
      </c>
      <c r="K25" s="59">
        <f t="shared" ref="K25" si="12">(K24/L24)-1</f>
        <v>0.24657534246575352</v>
      </c>
      <c r="L25" s="59">
        <f t="shared" ref="L25" si="13">(L24/M24)-1</f>
        <v>1.0277777777777777</v>
      </c>
    </row>
    <row r="26" spans="1:23" x14ac:dyDescent="0.25">
      <c r="C26" s="70"/>
    </row>
    <row r="27" spans="1:23" x14ac:dyDescent="0.25">
      <c r="A27" s="18" t="s">
        <v>252</v>
      </c>
      <c r="D27" s="23">
        <v>203100</v>
      </c>
      <c r="E27" s="23">
        <v>204200</v>
      </c>
      <c r="F27" s="23">
        <v>206900</v>
      </c>
      <c r="G27" s="23">
        <v>202700</v>
      </c>
      <c r="H27" s="23">
        <v>197800</v>
      </c>
      <c r="I27" s="23">
        <v>187700</v>
      </c>
      <c r="J27" s="23">
        <v>180000</v>
      </c>
      <c r="K27" s="23"/>
      <c r="L27" s="23"/>
      <c r="M27" s="23"/>
      <c r="N27" s="23"/>
      <c r="O27" s="23"/>
      <c r="P27" s="23"/>
      <c r="Q27" s="23"/>
      <c r="R27" s="23"/>
      <c r="S27" s="23"/>
      <c r="T27" s="23"/>
      <c r="U27" s="23"/>
      <c r="V27" s="23"/>
      <c r="W27" s="23"/>
    </row>
    <row r="28" spans="1:23" x14ac:dyDescent="0.25">
      <c r="D28" s="23"/>
      <c r="E28" s="23"/>
      <c r="F28" s="23"/>
      <c r="G28" s="23"/>
      <c r="H28" s="23"/>
      <c r="I28" s="23"/>
      <c r="J28" s="23"/>
      <c r="K28" s="23"/>
      <c r="L28" s="23"/>
      <c r="M28" s="23"/>
      <c r="N28" s="23"/>
      <c r="O28" s="23"/>
      <c r="P28" s="23"/>
      <c r="Q28" s="23"/>
      <c r="R28" s="23"/>
      <c r="S28" s="23"/>
      <c r="T28" s="23"/>
      <c r="U28" s="23"/>
      <c r="V28" s="23"/>
      <c r="W28" s="23"/>
    </row>
    <row r="29" spans="1:23" x14ac:dyDescent="0.25">
      <c r="A29" s="27" t="s">
        <v>254</v>
      </c>
      <c r="B29" s="27"/>
      <c r="C29" s="27"/>
      <c r="D29" s="23"/>
      <c r="E29" s="23"/>
      <c r="F29" s="23"/>
      <c r="G29" s="23"/>
      <c r="H29" s="23"/>
      <c r="I29" s="23"/>
      <c r="J29" s="23"/>
      <c r="K29" s="23"/>
      <c r="L29" s="23"/>
      <c r="M29" s="23"/>
      <c r="N29" s="23"/>
      <c r="O29" s="23"/>
      <c r="P29" s="23"/>
      <c r="Q29" s="23"/>
      <c r="R29" s="23"/>
      <c r="S29" s="23"/>
      <c r="T29" s="23"/>
      <c r="U29" s="23"/>
      <c r="V29" s="23"/>
      <c r="W29" s="23"/>
    </row>
    <row r="30" spans="1:23" x14ac:dyDescent="0.25">
      <c r="A30" s="18" t="s">
        <v>255</v>
      </c>
      <c r="D30" s="34">
        <v>0.8</v>
      </c>
      <c r="E30" s="34"/>
      <c r="F30" s="34"/>
      <c r="G30" s="34"/>
      <c r="H30" s="34"/>
      <c r="I30" s="34"/>
      <c r="J30" s="34"/>
      <c r="K30" s="34"/>
      <c r="L30" s="34"/>
      <c r="M30" s="34"/>
      <c r="N30" s="34"/>
      <c r="O30" s="34"/>
      <c r="P30" s="34"/>
      <c r="Q30" s="34"/>
      <c r="R30" s="34"/>
      <c r="S30" s="34"/>
      <c r="T30" s="34"/>
      <c r="U30" s="34"/>
      <c r="V30" s="34"/>
      <c r="W30" s="57"/>
    </row>
    <row r="31" spans="1:23" x14ac:dyDescent="0.25">
      <c r="A31" s="18" t="s">
        <v>256</v>
      </c>
      <c r="D31" s="34">
        <v>0.15</v>
      </c>
      <c r="E31" s="34"/>
      <c r="F31" s="34"/>
      <c r="G31" s="34"/>
      <c r="H31" s="34"/>
      <c r="I31" s="34"/>
      <c r="J31" s="34"/>
      <c r="K31" s="34"/>
      <c r="L31" s="34"/>
      <c r="M31" s="34"/>
      <c r="N31" s="34"/>
      <c r="O31" s="34"/>
      <c r="P31" s="34"/>
      <c r="Q31" s="34"/>
      <c r="R31" s="34"/>
      <c r="S31" s="34"/>
      <c r="T31" s="34"/>
      <c r="U31" s="34"/>
      <c r="V31" s="34"/>
      <c r="W31" s="57"/>
    </row>
    <row r="32" spans="1:23" x14ac:dyDescent="0.25">
      <c r="A32" s="18" t="s">
        <v>257</v>
      </c>
      <c r="D32" s="34">
        <v>0.05</v>
      </c>
      <c r="E32" s="34"/>
      <c r="F32" s="34"/>
      <c r="G32" s="34"/>
      <c r="H32" s="34"/>
      <c r="I32" s="34"/>
      <c r="J32" s="34"/>
      <c r="K32" s="34"/>
      <c r="L32" s="34"/>
      <c r="M32" s="34"/>
      <c r="N32" s="34"/>
      <c r="O32" s="34"/>
      <c r="P32" s="34"/>
      <c r="Q32" s="34"/>
      <c r="R32" s="34"/>
      <c r="S32" s="34"/>
      <c r="T32" s="34"/>
      <c r="U32" s="34"/>
      <c r="V32" s="34"/>
      <c r="W32" s="57"/>
    </row>
    <row r="33" spans="1:23" x14ac:dyDescent="0.25">
      <c r="D33" s="23"/>
      <c r="E33" s="23"/>
      <c r="F33" s="23"/>
      <c r="G33" s="23"/>
      <c r="H33" s="23"/>
      <c r="I33" s="23"/>
      <c r="J33" s="23"/>
      <c r="K33" s="23"/>
      <c r="L33" s="23"/>
      <c r="M33" s="23"/>
      <c r="N33" s="23"/>
      <c r="O33" s="23"/>
      <c r="P33" s="23"/>
      <c r="Q33" s="23"/>
      <c r="R33" s="23"/>
      <c r="S33" s="23"/>
      <c r="T33" s="23"/>
      <c r="U33" s="23"/>
      <c r="V33" s="23"/>
      <c r="W33" s="23"/>
    </row>
    <row r="34" spans="1:23" x14ac:dyDescent="0.25">
      <c r="A34" s="27" t="s">
        <v>258</v>
      </c>
      <c r="B34" s="27"/>
      <c r="C34" s="27"/>
      <c r="D34" s="23"/>
      <c r="E34" s="23"/>
      <c r="F34" s="23"/>
      <c r="G34" s="23"/>
      <c r="H34" s="23"/>
      <c r="I34" s="23"/>
      <c r="J34" s="23"/>
      <c r="K34" s="23"/>
      <c r="L34" s="23"/>
      <c r="M34" s="23"/>
      <c r="N34" s="23"/>
      <c r="O34" s="23"/>
      <c r="P34" s="23"/>
      <c r="Q34" s="23"/>
      <c r="R34" s="23"/>
      <c r="S34" s="23"/>
      <c r="T34" s="23"/>
      <c r="U34" s="23"/>
      <c r="V34" s="23"/>
      <c r="W34" s="23"/>
    </row>
    <row r="35" spans="1:23" x14ac:dyDescent="0.25">
      <c r="A35" s="18" t="s">
        <v>255</v>
      </c>
      <c r="D35" s="34">
        <v>0.76</v>
      </c>
      <c r="E35" s="34"/>
      <c r="F35" s="34"/>
      <c r="G35" s="34"/>
      <c r="H35" s="34"/>
      <c r="I35" s="34"/>
      <c r="J35" s="34"/>
      <c r="K35" s="34"/>
      <c r="L35" s="34"/>
      <c r="M35" s="34"/>
      <c r="N35" s="34"/>
      <c r="O35" s="34"/>
      <c r="P35" s="34"/>
      <c r="Q35" s="34"/>
      <c r="R35" s="34"/>
      <c r="S35" s="34"/>
      <c r="T35" s="23"/>
      <c r="U35" s="23"/>
      <c r="V35" s="23"/>
      <c r="W35" s="23"/>
    </row>
    <row r="36" spans="1:23" x14ac:dyDescent="0.25">
      <c r="A36" s="18" t="s">
        <v>256</v>
      </c>
      <c r="D36" s="34">
        <v>0.18</v>
      </c>
      <c r="E36" s="34"/>
      <c r="F36" s="34"/>
      <c r="G36" s="34"/>
      <c r="H36" s="34"/>
      <c r="I36" s="34"/>
      <c r="J36" s="34"/>
      <c r="K36" s="34"/>
      <c r="L36" s="34"/>
      <c r="M36" s="34"/>
      <c r="N36" s="34"/>
      <c r="O36" s="34"/>
      <c r="P36" s="34"/>
      <c r="Q36" s="34"/>
      <c r="R36" s="34"/>
      <c r="S36" s="34"/>
      <c r="T36" s="23"/>
      <c r="U36" s="23"/>
      <c r="V36" s="23"/>
      <c r="W36" s="23"/>
    </row>
    <row r="37" spans="1:23" x14ac:dyDescent="0.25">
      <c r="A37" s="18" t="s">
        <v>257</v>
      </c>
      <c r="D37" s="34">
        <v>0.06</v>
      </c>
      <c r="E37" s="34"/>
      <c r="F37" s="34"/>
      <c r="G37" s="34"/>
      <c r="H37" s="34"/>
      <c r="I37" s="34"/>
      <c r="J37" s="34"/>
      <c r="K37" s="34"/>
      <c r="L37" s="34"/>
      <c r="M37" s="34"/>
      <c r="N37" s="34"/>
      <c r="O37" s="34"/>
      <c r="P37" s="34"/>
      <c r="Q37" s="34"/>
      <c r="R37" s="34"/>
      <c r="S37" s="34"/>
    </row>
    <row r="38" spans="1:23" x14ac:dyDescent="0.25">
      <c r="D38" s="34"/>
      <c r="E38" s="34"/>
      <c r="F38" s="34"/>
      <c r="G38" s="34"/>
      <c r="H38" s="34"/>
      <c r="I38" s="34"/>
      <c r="J38" s="34"/>
      <c r="K38" s="34"/>
      <c r="L38" s="34"/>
      <c r="M38" s="34"/>
      <c r="N38" s="34"/>
      <c r="O38" s="34"/>
      <c r="P38" s="34"/>
      <c r="Q38" s="34"/>
      <c r="R38" s="34"/>
      <c r="S38" s="34"/>
    </row>
    <row r="39" spans="1:23" x14ac:dyDescent="0.25">
      <c r="A39" s="18" t="s">
        <v>259</v>
      </c>
      <c r="D39" s="57">
        <v>690000</v>
      </c>
      <c r="E39" s="34"/>
      <c r="F39" s="34"/>
      <c r="G39" s="34"/>
      <c r="H39" s="34"/>
      <c r="I39" s="34"/>
      <c r="J39" s="34"/>
      <c r="K39" s="34"/>
      <c r="L39" s="34"/>
      <c r="M39" s="34"/>
      <c r="N39" s="34"/>
      <c r="O39" s="34"/>
      <c r="P39" s="34"/>
      <c r="Q39" s="34"/>
      <c r="R39" s="34"/>
      <c r="S39" s="34"/>
    </row>
    <row r="40" spans="1:23" x14ac:dyDescent="0.25">
      <c r="D40" s="34"/>
      <c r="E40" s="34"/>
      <c r="F40" s="34"/>
      <c r="G40" s="34"/>
      <c r="H40" s="34"/>
      <c r="I40" s="34"/>
      <c r="J40" s="34"/>
      <c r="K40" s="34"/>
      <c r="L40" s="34"/>
      <c r="M40" s="34"/>
      <c r="N40" s="34"/>
      <c r="O40" s="34"/>
      <c r="P40" s="34"/>
      <c r="Q40" s="34"/>
      <c r="R40" s="34"/>
      <c r="S40" s="34"/>
    </row>
    <row r="42" spans="1:23" ht="100" x14ac:dyDescent="0.25">
      <c r="A42" s="67" t="s">
        <v>253</v>
      </c>
      <c r="B42" s="67"/>
      <c r="C42" s="67"/>
    </row>
    <row r="46" spans="1:23" x14ac:dyDescent="0.25">
      <c r="B46" s="32"/>
      <c r="C46" s="32"/>
      <c r="D46" s="32"/>
      <c r="E46" s="32"/>
      <c r="F46" s="32"/>
      <c r="G46" s="32"/>
      <c r="H46" s="32"/>
      <c r="I46" s="32"/>
      <c r="J46" s="32"/>
      <c r="K46" s="32"/>
      <c r="L46" s="32"/>
    </row>
    <row r="47" spans="1:23" x14ac:dyDescent="0.25">
      <c r="B47" s="32"/>
      <c r="C47" s="32"/>
      <c r="D47" s="32"/>
      <c r="E47" s="32"/>
      <c r="F47" s="32"/>
      <c r="G47" s="32"/>
      <c r="H47" s="32"/>
      <c r="I47" s="32"/>
      <c r="J47" s="32"/>
    </row>
    <row r="50" spans="2:4" x14ac:dyDescent="0.25">
      <c r="B50" s="78"/>
    </row>
    <row r="51" spans="2:4" x14ac:dyDescent="0.25">
      <c r="B51" s="78"/>
      <c r="D51" s="78"/>
    </row>
    <row r="52" spans="2:4" x14ac:dyDescent="0.25">
      <c r="D52" s="78"/>
    </row>
  </sheetData>
  <mergeCells count="3">
    <mergeCell ref="A3:A4"/>
    <mergeCell ref="B3:C3"/>
    <mergeCell ref="D3:H3"/>
  </mergeCells>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TERMS OF USE</vt:lpstr>
      <vt:lpstr>Balance Sheet</vt:lpstr>
      <vt:lpstr>Operating Data</vt:lpstr>
      <vt:lpstr>Cash Flow Analysis</vt:lpstr>
      <vt:lpstr>Segment Data</vt:lpstr>
      <vt:lpstr>U.S. Dialysis Segment Data</vt:lpstr>
      <vt:lpstr>Ancillary Segment Data</vt:lpstr>
      <vt:lpstr>Statistics</vt:lpstr>
    </vt:vector>
  </TitlesOfParts>
  <Manager/>
  <Company>The Rational Walk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DaVita</dc:title>
  <dc:subject/>
  <dc:creator>The Rational Walk LLC</dc:creator>
  <cp:keywords/>
  <dc:description/>
  <cp:lastModifiedBy>Ravi Nagarajan</cp:lastModifiedBy>
  <dcterms:created xsi:type="dcterms:W3CDTF">2012-07-06T13:42:34Z</dcterms:created>
  <dcterms:modified xsi:type="dcterms:W3CDTF">2022-10-16T16:09:22Z</dcterms:modified>
  <cp:category/>
</cp:coreProperties>
</file>